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vmlDrawing1.vml" ContentType="application/vnd.openxmlformats-officedocument.vmlDrawing"/>
  <Override PartName="/xl/drawings/vmlDrawing2.vml" ContentType="application/vnd.openxmlformats-officedocument.vmlDrawing"/>
  <Override PartName="/xl/drawings/vmlDrawing3.vml" ContentType="application/vnd.openxmlformats-officedocument.vmlDrawing"/>
  <Override PartName="/xl/drawings/vmlDrawing4.vml" ContentType="application/vnd.openxmlformats-officedocument.vmlDrawing"/>
  <Override PartName="/xl/_rels/workbook.xml.rels" ContentType="application/vnd.openxmlformats-package.relationship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Start here" sheetId="1" state="visible" r:id="rId3"/>
    <sheet name="Scorecard" sheetId="2" state="visible" r:id="rId4"/>
    <sheet name="Targets" sheetId="3" state="visible" r:id="rId5"/>
    <sheet name="Requests" sheetId="4" state="visible" r:id="rId6"/>
    <sheet name="Matters" sheetId="5" state="visible" r:id="rId7"/>
    <sheet name="Status map" sheetId="6" state="visible" r:id="rId8"/>
    <sheet name="Critical dates" sheetId="7" state="visible" r:id="rId9"/>
    <sheet name="Spend" sheetId="8" state="visible" r:id="rId10"/>
    <sheet name="Roster" sheetId="9" state="visible" r:id="rId11"/>
    <sheet name="Shadow demand" sheetId="10" state="visible" r:id="rId12"/>
  </sheets>
  <definedNames>
    <definedName function="false" hidden="false" localSheetId="6" name="_xlnm.Print_Area" vbProcedure="false">'Critical dates'!$A$1:$I$53</definedName>
    <definedName function="false" hidden="false" localSheetId="6" name="_xlnm.Print_Titles" vbProcedure="false">'Critical dates'!$5:$5</definedName>
    <definedName function="false" hidden="false" localSheetId="4" name="_xlnm.Print_Area" vbProcedure="false">Matters!$A$1:$T$395</definedName>
    <definedName function="false" hidden="false" localSheetId="4" name="_xlnm.Print_Titles" vbProcedure="false">Matters!$5:$5</definedName>
    <definedName function="false" hidden="false" localSheetId="3" name="_xlnm.Print_Area" vbProcedure="false">Requests!$A$1:$L$145</definedName>
    <definedName function="false" hidden="false" localSheetId="3" name="_xlnm.Print_Titles" vbProcedure="false">Requests!$5:$5</definedName>
    <definedName function="false" hidden="false" localSheetId="8" name="_xlnm.Print_Area" vbProcedure="false">Roster!$A$1:$E$16</definedName>
    <definedName function="false" hidden="false" localSheetId="8" name="_xlnm.Print_Titles" vbProcedure="false">Roster!$5:$5</definedName>
    <definedName function="false" hidden="false" localSheetId="1" name="_xlnm.Print_Area" vbProcedure="false">Scorecard!$B$1:$H$26</definedName>
    <definedName function="false" hidden="false" localSheetId="9" name="_xlnm.Print_Area" vbProcedure="false">'Shadow demand'!$A$1:$F$26</definedName>
    <definedName function="false" hidden="false" localSheetId="9" name="_xlnm.Print_Titles" vbProcedure="false">'Shadow demand'!$5:$5</definedName>
    <definedName function="false" hidden="false" localSheetId="7" name="_xlnm.Print_Area" vbProcedure="false">Spend!$A$1:$L$63</definedName>
    <definedName function="false" hidden="false" localSheetId="7" name="_xlnm.Print_Titles" vbProcedure="false">Spend!$5:$5</definedName>
    <definedName function="false" hidden="false" localSheetId="0" name="_xlnm.Print_Area" vbProcedure="false">'Start here'!$B$1:$E$57</definedName>
    <definedName function="false" hidden="false" localSheetId="5" name="_xlnm.Print_Area" vbProcedure="false">'Status map'!$A$1:$K$43</definedName>
    <definedName function="false" hidden="false" localSheetId="5" name="_xlnm.Print_Titles" vbProcedure="false">'Status map'!$5:$5</definedName>
    <definedName function="false" hidden="false" localSheetId="2" name="_xlnm.Print_Area" vbProcedure="false">Targets!$A$1:$I$47</definedName>
    <definedName function="false" hidden="false" localSheetId="2" name="_xlnm.Print_Titles" vbProcedure="false">Targets!$5:$5</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B13" authorId="0">
      <text>
        <r>
          <rPr>
            <sz val="10"/>
            <rFont val="Arial"/>
            <family val="2"/>
          </rPr>
          <t xml:space="preserve">Whether outside counsel counts as capacity is a decision the department makes, not a measurement detail. Set to No and load per lawyer answers "how loaded is my team". Set to Yes and it answers "how loaded is the whole bench I can draw on". Both are defensible. Reporting one without saying which is not.</t>
        </r>
      </text>
    </comment>
    <comment ref="G34" authorId="0">
      <text>
        <r>
          <rPr>
            <sz val="10"/>
            <rFont val="Arial"/>
            <family val="2"/>
          </rPr>
          <t xml:space="preserve">Override: any date in Missed condition forces this line to Off, whatever the at-risk count. A single miss is material and must never average away behind a healthy coverage percentage.</t>
        </r>
      </text>
    </comment>
  </commentList>
</comments>
</file>

<file path=xl/comments4.xml><?xml version="1.0" encoding="utf-8"?>
<comments xmlns="http://schemas.openxmlformats.org/spreadsheetml/2006/main" xmlns:xdr="http://schemas.openxmlformats.org/drawingml/2006/spreadsheetDrawing">
  <authors>
    <author>Unknown Author</author>
  </authors>
  <commentList>
    <comment ref="E5" authorId="0">
      <text>
        <r>
          <rPr>
            <sz val="10"/>
            <rFont val="Arial"/>
            <family val="2"/>
          </rPr>
          <t xml:space="preserve">Self-served has to mean resolved, not quietly dropped. If a self-served request comes back inside the re-submission window on the Targets tab, it was deferred, not handled.</t>
        </r>
      </text>
    </comment>
    <comment ref="N5" authorId="0">
      <text>
        <r>
          <rPr>
            <sz val="10"/>
            <rFont val="Arial"/>
            <family val="2"/>
          </rPr>
          <t xml:space="preserve">Every request carries a Dept ID, never a typed team name. This is what lets you slice self-serve adoption, response time and shadow demand by business unit, and trend them period over period.</t>
        </r>
      </text>
    </comment>
  </commentList>
</comments>
</file>

<file path=xl/comments5.xml><?xml version="1.0" encoding="utf-8"?>
<comments xmlns="http://schemas.openxmlformats.org/spreadsheetml/2006/main" xmlns:xdr="http://schemas.openxmlformats.org/drawingml/2006/spreadsheetDrawing">
  <authors>
    <author>Unknown Author</author>
  </authors>
  <commentList>
    <comment ref="D5" authorId="0">
      <text>
        <r>
          <rPr>
            <sz val="10"/>
            <rFont val="Arial"/>
            <family val="2"/>
          </rPr>
          <t xml:space="preserve">The native status must match the Status map exactly, for this practice area. An unmatched status shows as "Unmapped" in column E and drops out of every scoped line.</t>
        </r>
      </text>
    </comment>
  </commentList>
</comments>
</file>

<file path=xl/comments6.xml><?xml version="1.0" encoding="utf-8"?>
<comments xmlns="http://schemas.openxmlformats.org/spreadsheetml/2006/main" xmlns:xdr="http://schemas.openxmlformats.org/drawingml/2006/spreadsheetDrawing">
  <authors>
    <author>Unknown Author</author>
  </authors>
  <commentList>
    <comment ref="A5" authorId="0">
      <text>
        <r>
          <rPr>
            <sz val="10"/>
            <rFont val="Arial"/>
            <family val="2"/>
          </rPr>
          <t xml:space="preserve">Map ID is a stable identifier. Never renumber it and never reuse one. Together with Effective from it is what lets you prove which mapping produced a given period's number when someone audits the page.</t>
        </r>
      </text>
    </comment>
    <comment ref="J5" authorId="0">
      <text>
        <r>
          <rPr>
            <sz val="10"/>
            <rFont val="Arial"/>
            <family val="2"/>
          </rPr>
          <t xml:space="preserve">Validation aid. A mapping with zero matters against it is either dead or wrong. A count that jumps unexpectedly is worth investigating before the page ships.</t>
        </r>
      </text>
    </comment>
  </commentList>
</comments>
</file>

<file path=xl/sharedStrings.xml><?xml version="1.0" encoding="utf-8"?>
<sst xmlns="http://schemas.openxmlformats.org/spreadsheetml/2006/main" count="5048" uniqueCount="1370">
  <si>
    <t xml:space="preserve">THE SCORECARD BUILD BLUEPRINT   ·   TRACK C</t>
  </si>
  <si>
    <t xml:space="preserve">The Legal Scorecard Workbook</t>
  </si>
  <si>
    <t xml:space="preserve">One workbook, one monthly routine, one page your board can read cold.</t>
  </si>
  <si>
    <t xml:space="preserve">What this is</t>
  </si>
  <si>
    <t xml:space="preserve">This is the Track C build from The Scorecard Build Blueprint: the one-page Legal Scorecard, assembled by hand, on purpose. No platform required.</t>
  </si>
  <si>
    <t xml:space="preserve">Track C is a real path, not a consolation. A workbook page is trustworthy if you treat it like a system instead of a one-off. That means one owner, one cadence, a written pull routine, and honest flags on the lines you cannot fully feed yet.</t>
  </si>
  <si>
    <t xml:space="preserve">Every tab below is one record from Part One of the Blueprint. The Scorecard tab is the page itself, fed by formulas from the tabs behind it.</t>
  </si>
  <si>
    <t xml:space="preserve">The five questions, and the eight numbers that answer them</t>
  </si>
  <si>
    <t xml:space="preserve">1.  Are we on top of the whole workload?   →   Work in vs. work cleared  ·  Shadow demand</t>
  </si>
  <si>
    <t xml:space="preserve">2.  Is the business unblocked, and are matters moving?   →   Time to first response  ·  Stalled-matter rate</t>
  </si>
  <si>
    <t xml:space="preserve">3.  Are we protected?   →   Critical-date coverage</t>
  </si>
  <si>
    <t xml:space="preserve">4.  Are we growing capacity faster than headcount?   →   Self-serve rate  ·  Load per lawyer</t>
  </si>
  <si>
    <t xml:space="preserve">5.  Is spend under control?   →   Outside counsel spend vs budget, with forecast</t>
  </si>
  <si>
    <t xml:space="preserve">The tabs</t>
  </si>
  <si>
    <t xml:space="preserve">Tab</t>
  </si>
  <si>
    <t xml:space="preserve">What it holds</t>
  </si>
  <si>
    <t xml:space="preserve">How you fill it each month</t>
  </si>
  <si>
    <t xml:space="preserve">Board lines it feeds</t>
  </si>
  <si>
    <t xml:space="preserve">Scorecard</t>
  </si>
  <si>
    <t xml:space="preserve">The one page: eight lines, status, trend, confidence, and the read</t>
  </si>
  <si>
    <t xml:space="preserve">It fills itself. You write the read.</t>
  </si>
  <si>
    <t xml:space="preserve">The board page itself</t>
  </si>
  <si>
    <t xml:space="preserve">Targets</t>
  </si>
  <si>
    <t xml:space="preserve">What good looks like, the watch bands, and last period's values</t>
  </si>
  <si>
    <t xml:space="preserve">Set once. Update the prior-period column at each refresh.</t>
  </si>
  <si>
    <t xml:space="preserve">Status and trend on every line</t>
  </si>
  <si>
    <t xml:space="preserve">Requests</t>
  </si>
  <si>
    <t xml:space="preserve">Received time, first human touch, how it resolved, who asked, and their Dept ID</t>
  </si>
  <si>
    <t xml:space="preserve">From your intake tool, or a log of the shared inbox</t>
  </si>
  <si>
    <t xml:space="preserve">Time to first response; Self-serve rate</t>
  </si>
  <si>
    <t xml:space="preserve">Matters</t>
  </si>
  <si>
    <t xml:space="preserve">Open and close dates, native status, last activity, category, owner, assigned lawyer</t>
  </si>
  <si>
    <t xml:space="preserve">An export or a kept list from matter management</t>
  </si>
  <si>
    <t xml:space="preserve">Work in vs. work cleared; Stalled-matter; Load</t>
  </si>
  <si>
    <t xml:space="preserve">Status map</t>
  </si>
  <si>
    <t xml:space="preserve">Each native status mapped to one of the five standard statuses, with a Map ID and an audit trail</t>
  </si>
  <si>
    <t xml:space="preserve">Built once; updated only when a new status appears</t>
  </si>
  <si>
    <t xml:space="preserve">Every line that needs one language</t>
  </si>
  <si>
    <t xml:space="preserve">Critical dates</t>
  </si>
  <si>
    <t xml:space="preserve">One row per date: date, type, matter, owner, condition, source</t>
  </si>
  <si>
    <t xml:space="preserve">From docketing, court dockets, CLM, calendars, and firm reports</t>
  </si>
  <si>
    <t xml:space="preserve">Critical-date coverage</t>
  </si>
  <si>
    <t xml:space="preserve">Spend</t>
  </si>
  <si>
    <t xml:space="preserve">Invoiced-to-date and accrual per matter; the department budget, phased</t>
  </si>
  <si>
    <t xml:space="preserve">From eBilling or firm invoices; the budget entered once</t>
  </si>
  <si>
    <t xml:space="preserve">Spend vs budget, with forecast</t>
  </si>
  <si>
    <t xml:space="preserve">Roster</t>
  </si>
  <si>
    <t xml:space="preserve">Each lawyer, and whether they are in-house or an outside provider</t>
  </si>
  <si>
    <t xml:space="preserve">From your team list, plus your firm contacts</t>
  </si>
  <si>
    <t xml:space="preserve">Load per lawyer</t>
  </si>
  <si>
    <t xml:space="preserve">Shadow demand</t>
  </si>
  <si>
    <t xml:space="preserve">The traces you reconcile each period, and the prior count</t>
  </si>
  <si>
    <t xml:space="preserve">A reconciliation you run, not a report you pull</t>
  </si>
  <si>
    <t xml:space="preserve">What to type in, and what to leave alone</t>
  </si>
  <si>
    <t xml:space="preserve">Blue cells on the Targets and Spend tabs are yours to set. They are the bar, the period, and the budget.</t>
  </si>
  <si>
    <t xml:space="preserve">White and light-blue rows on the data tabs are sample data. Delete them and paste your own export in their place. The formulas run to row 604 on Matters and row 404 on Requests, so pasting more rows just works.</t>
  </si>
  <si>
    <t xml:space="preserve">Grey italic columns are calculated. Do not type in them. If you paste over one, copy it back down from the row above.</t>
  </si>
  <si>
    <t xml:space="preserve">The read column on the Scorecard is typed by a person. That is the point of it. The number reports; the read thinks, and someone owns it.</t>
  </si>
  <si>
    <t xml:space="preserve">The monthly routine</t>
  </si>
  <si>
    <t xml:space="preserve">One owner, one cadence. The page is only as current as its slowest pull. Pick a rhythm, hold it, and put one person in charge of it.</t>
  </si>
  <si>
    <t xml:space="preserve">A written pull routine. The same reports from each source, the same day, the same steps, so it comes out the same no matter who runs it.</t>
  </si>
  <si>
    <t xml:space="preserve">Version control. Before you paste new data, copy this month's driver values from the Targets tab into the prior-period column. Then date this file and keep the last one.</t>
  </si>
  <si>
    <t xml:space="preserve">A QA pass before it ships. Check the Matters tab for anything reading "Unmapped", check the Critical dates tab for anything reading "No" under Owned, and check that every line you cannot fully feed carries an honest confidence flag.</t>
  </si>
  <si>
    <t xml:space="preserve">Three things that make it stand up to a challenge</t>
  </si>
  <si>
    <t xml:space="preserve">Identity, not labels. Every status mapping has a Map ID and an effective date, and every request carries a Dept ID from the Departments list. Names typed by hand cannot be grouped, trended, or audited. The Status map also counts the matters using each mapping and names one, so you can validate a rule instead of trusting it.</t>
  </si>
  <si>
    <t xml:space="preserve">The audit trail. Keep the Map ID and Effective from columns current. When someone asks in six months why the stalled number moved, that trail is how you show a mapping changed rather than the work changing.</t>
  </si>
  <si>
    <t xml:space="preserve">Declare your capacity basis. Whether outside counsel counts as capacity is a strategic decision, not a formula. Set it once on the Targets tab. The page names the assumption and shows the number both ways, so nobody reads load per lawyer without knowing what is in it.</t>
  </si>
  <si>
    <t xml:space="preserve">Four rules that keep it honest</t>
  </si>
  <si>
    <t xml:space="preserve">Integrity over completeness. Report what you can trust, and show how much of the picture it covers.</t>
  </si>
  <si>
    <t xml:space="preserve">The read never outruns the data. When the data underneath is thin, the read gives a direction, not a false decimal.</t>
  </si>
  <si>
    <t xml:space="preserve">Progressive, not perfect. A page you can stand up and trust in a few weeks beats the perfect one you never finish.</t>
  </si>
  <si>
    <t xml:space="preserve">Fake precision is worse than an honest gap. The first time someone catches it, they stop trusting the whole page.</t>
  </si>
  <si>
    <t xml:space="preserve">Sample data is illustrative and fictional. It is built so every line on the Scorecard matches the example page in the ebook, which lets you check the workbook is calculating before you trust it with your own numbers.</t>
  </si>
  <si>
    <t xml:space="preserve">LegalOperator   ·   The right answer. Right now. Better outcomes.</t>
  </si>
  <si>
    <t xml:space="preserve">Companion to How to Build a Board-Level Legal Scorecard and The Scorecard Build Blueprint.</t>
  </si>
  <si>
    <t xml:space="preserve">LEGAL SCORECARD</t>
  </si>
  <si>
    <t xml:space="preserve">The line</t>
  </si>
  <si>
    <t xml:space="preserve">This period</t>
  </si>
  <si>
    <t xml:space="preserve">What good looks like</t>
  </si>
  <si>
    <t xml:space="preserve">Status</t>
  </si>
  <si>
    <t xml:space="preserve">Trend</t>
  </si>
  <si>
    <t xml:space="preserve">Confidence</t>
  </si>
  <si>
    <t xml:space="preserve">The read</t>
  </si>
  <si>
    <t xml:space="preserve">1.  Are we on top of the whole workload?</t>
  </si>
  <si>
    <t xml:space="preserve">Work in vs. work cleared</t>
  </si>
  <si>
    <t xml:space="preserve">104 in, 96 cleared. We are eight behind for the month, concentrated in commercial contracts. Triage the queue and hold intake steady before we talk about capacity.</t>
  </si>
  <si>
    <t xml:space="preserve">14 traces, up from 11. Most are software renewals signed inside the business. Directional only. This is a conversation with Procurement, not a staffing decision.</t>
  </si>
  <si>
    <t xml:space="preserve">2.  Is the business unblocked, and are matters moving?</t>
  </si>
  <si>
    <t xml:space="preserve">Time to first response</t>
  </si>
  <si>
    <t xml:space="preserve">Median first response holding at 1.2 days against a 1.0 promise. Consistent, not fast. Moving the simple contract requests to self-serve is the move.</t>
  </si>
  <si>
    <t xml:space="preserve">Stalled-matter rate</t>
  </si>
  <si>
    <t xml:space="preserve">9% of project matters stalled, down from 12%. The commercial leasing backlog cleared. Nothing needed this month.</t>
  </si>
  <si>
    <t xml:space="preserve">3.  Are we protected?</t>
  </si>
  <si>
    <t xml:space="preserve">Every critical date has an owner. Two are at risk, both IP responses due inside three weeks. Both are staffed and escalated.</t>
  </si>
  <si>
    <t xml:space="preserve">4.  Are we growing capacity faster than headcount?</t>
  </si>
  <si>
    <t xml:space="preserve">Self-serve rate</t>
  </si>
  <si>
    <t xml:space="preserve">38% of requests resolved without a lawyer, up from 34%. The NDA playbook is carrying it, and the re-submission rate is flat, so the deflection is real.</t>
  </si>
  <si>
    <t xml:space="preserve">22 active matters per lawyer, up from 20.5, counting our own team only. Sustainable this quarter, not next. This is the headcount conversation, and it is coming.</t>
  </si>
  <si>
    <t xml:space="preserve">5.  Is spend under control?</t>
  </si>
  <si>
    <t xml:space="preserve">Outside counsel spend vs budget</t>
  </si>
  <si>
    <t xml:space="preserve">68% of budget used at two thirds of the year, but the forecast finishes 4% over. Litigation is running ahead of its allocation. Reallocate now, not in December.</t>
  </si>
  <si>
    <t xml:space="preserve">Illustrative values. Overwrite the data tabs and every number, status and trend on this page recalculates. The read is written and owned by a person, never by the page.</t>
  </si>
  <si>
    <t xml:space="preserve">Targets and calculations</t>
  </si>
  <si>
    <t xml:space="preserve">Set the bar here. Everything the Scorecard shows is computed from this tab and the data tabs behind it.</t>
  </si>
  <si>
    <t xml:space="preserve">THE PERIOD, AND THE RULES YOU SET ONCE</t>
  </si>
  <si>
    <t xml:space="preserve">Blue cells are yours to type in.</t>
  </si>
  <si>
    <t xml:space="preserve">Department</t>
  </si>
  <si>
    <t xml:space="preserve">Northwind Industries, Legal Department</t>
  </si>
  <si>
    <t xml:space="preserve">Period label (shown on the page)</t>
  </si>
  <si>
    <t xml:space="preserve">August 2026</t>
  </si>
  <si>
    <t xml:space="preserve">Period start</t>
  </si>
  <si>
    <t xml:space="preserve">Period end</t>
  </si>
  <si>
    <t xml:space="preserve">Months elapsed in the fiscal year</t>
  </si>
  <si>
    <t xml:space="preserve">Used only by the spend forecast.</t>
  </si>
  <si>
    <t xml:space="preserve">Prepared by</t>
  </si>
  <si>
    <t xml:space="preserve">[Your name]</t>
  </si>
  <si>
    <t xml:space="preserve">Re-submission window, in days</t>
  </si>
  <si>
    <t xml:space="preserve">A self-served request that comes back inside this window was deferred, not handled.</t>
  </si>
  <si>
    <t xml:space="preserve">No-movement threshold, in days</t>
  </si>
  <si>
    <t xml:space="preserve">A project matter that is Active with no activity for longer than this is stalled.</t>
  </si>
  <si>
    <t xml:space="preserve">Count outside-provider lawyers in capacity?</t>
  </si>
  <si>
    <t xml:space="preserve">No</t>
  </si>
  <si>
    <t xml:space="preserve">A strategic choice, not a formula. Whichever way you set it, the page states the assumption.</t>
  </si>
  <si>
    <t xml:space="preserve">SET THE BAR</t>
  </si>
  <si>
    <t xml:space="preserve">A threshold is not a benchmark you import. You set it from your own promise, your own history, or the number your business cares about.</t>
  </si>
  <si>
    <t xml:space="preserve">Board line</t>
  </si>
  <si>
    <t xml:space="preserve">Target</t>
  </si>
  <si>
    <t xml:space="preserve">Watch band</t>
  </si>
  <si>
    <t xml:space="preserve">Direction</t>
  </si>
  <si>
    <t xml:space="preserve">Flat band</t>
  </si>
  <si>
    <t xml:space="preserve">Prior period</t>
  </si>
  <si>
    <t xml:space="preserve">Higher is better</t>
  </si>
  <si>
    <t xml:space="preserve">Measured</t>
  </si>
  <si>
    <t xml:space="preserve">Flat or shrinking. Work in and work out roughly matched.</t>
  </si>
  <si>
    <t xml:space="preserve">Lower is better</t>
  </si>
  <si>
    <t xml:space="preserve">Directional</t>
  </si>
  <si>
    <t xml:space="preserve">Low and falling.</t>
  </si>
  <si>
    <t xml:space="preserve">Inside the response time you promised the business, and consistent.</t>
  </si>
  <si>
    <t xml:space="preserve">Low and steady.</t>
  </si>
  <si>
    <t xml:space="preserve">Every date owned. Zero missed. At-risk count low and shrinking.</t>
  </si>
  <si>
    <t xml:space="preserve">Rising over time against your own baseline.</t>
  </si>
  <si>
    <t xml:space="preserve">Proxy</t>
  </si>
  <si>
    <t xml:space="preserve">Stable and manageable.</t>
  </si>
  <si>
    <t xml:space="preserve">On or under plan, with the forecast holding.</t>
  </si>
  <si>
    <t xml:space="preserve">Prior period: at each refresh, copy this month's driver values from the block below into this column before you paste new data. That is your version control.</t>
  </si>
  <si>
    <t xml:space="preserve">CALCULATED FROM THE DATA TABS. DO NOT TYPE HERE.</t>
  </si>
  <si>
    <t xml:space="preserve">Driver (what status is judged on)</t>
  </si>
  <si>
    <t xml:space="preserve">Value A</t>
  </si>
  <si>
    <t xml:space="preserve">Value B</t>
  </si>
  <si>
    <t xml:space="preserve">CAPACITY BASIS FOR LOAD PER LAWYER</t>
  </si>
  <si>
    <t xml:space="preserve">Both bases are shown whichever one you report, so the capacity you left out is never invisible.</t>
  </si>
  <si>
    <t xml:space="preserve">In-house lawyers</t>
  </si>
  <si>
    <t xml:space="preserve">Outside-provider lawyers on the roster</t>
  </si>
  <si>
    <t xml:space="preserve">Open matters carried in-house</t>
  </si>
  <si>
    <t xml:space="preserve">Open matters carried by an outside provider</t>
  </si>
  <si>
    <t xml:space="preserve">Load on the in-house basis</t>
  </si>
  <si>
    <t xml:space="preserve">Load counting outside providers too</t>
  </si>
  <si>
    <t xml:space="preserve">Reporting the in-house basis without naming the outside capacity flatters the number. Reporting the combined basis without naming it hides how thin your own team is. Say which one you used.</t>
  </si>
  <si>
    <t xml:space="preserve">One row per legal service request that arrives at the front door. First human touch is a person moving the work forward, not an automated acknowledgment.</t>
  </si>
  <si>
    <t xml:space="preserve">Feeds: Time to first response  ·  Self-serve rate  ·  the reconciliation set for Shadow demand</t>
  </si>
  <si>
    <t xml:space="preserve">DEPARTMENTS</t>
  </si>
  <si>
    <t xml:space="preserve">Overwrite the sample rows below with your own export.</t>
  </si>
  <si>
    <t xml:space="preserve">CALCULATED, DO NOT TYPE HERE</t>
  </si>
  <si>
    <t xml:space="preserve">Keep this list. Free-text team names cannot be grouped or trended.</t>
  </si>
  <si>
    <t xml:space="preserve">Request ID</t>
  </si>
  <si>
    <t xml:space="preserve">Received</t>
  </si>
  <si>
    <t xml:space="preserve">First human touch</t>
  </si>
  <si>
    <t xml:space="preserve">How it resolved</t>
  </si>
  <si>
    <t xml:space="preserve">Re-submitted in window?</t>
  </si>
  <si>
    <t xml:space="preserve">Who asked</t>
  </si>
  <si>
    <t xml:space="preserve">Dept ID</t>
  </si>
  <si>
    <t xml:space="preserve">Matter ID (if it became a matter)</t>
  </si>
  <si>
    <t xml:space="preserve">Response (days)</t>
  </si>
  <si>
    <t xml:space="preserve">In period?</t>
  </si>
  <si>
    <t xml:space="preserve">Response days in period</t>
  </si>
  <si>
    <t xml:space="preserve">Business unit</t>
  </si>
  <si>
    <t xml:space="preserve">Notes</t>
  </si>
  <si>
    <t xml:space="preserve">R-1901</t>
  </si>
  <si>
    <t xml:space="preserve">Became a matter</t>
  </si>
  <si>
    <t xml:space="preserve">P. Whitcomb</t>
  </si>
  <si>
    <t xml:space="preserve">D-500</t>
  </si>
  <si>
    <t xml:space="preserve">D-100</t>
  </si>
  <si>
    <t xml:space="preserve">Sales</t>
  </si>
  <si>
    <t xml:space="preserve">Go to market</t>
  </si>
  <si>
    <t xml:space="preserve">Highest request volume. Mostly contracts.</t>
  </si>
  <si>
    <t xml:space="preserve">R-1913</t>
  </si>
  <si>
    <t xml:space="preserve">S. Iyer</t>
  </si>
  <si>
    <t xml:space="preserve">D-110</t>
  </si>
  <si>
    <t xml:space="preserve">Marketing</t>
  </si>
  <si>
    <t xml:space="preserve">Watch for purchases signed without legal.</t>
  </si>
  <si>
    <t xml:space="preserve">R-1919</t>
  </si>
  <si>
    <t xml:space="preserve">Self-serve</t>
  </si>
  <si>
    <t xml:space="preserve">V. Solano</t>
  </si>
  <si>
    <t xml:space="preserve">D-310</t>
  </si>
  <si>
    <t xml:space="preserve">D-200</t>
  </si>
  <si>
    <t xml:space="preserve">Engineering</t>
  </si>
  <si>
    <t xml:space="preserve">Product and technology</t>
  </si>
  <si>
    <t xml:space="preserve">Vendor and tooling terms.</t>
  </si>
  <si>
    <t xml:space="preserve">R-1909</t>
  </si>
  <si>
    <t xml:space="preserve">D-210</t>
  </si>
  <si>
    <t xml:space="preserve">IT</t>
  </si>
  <si>
    <t xml:space="preserve">Software terms, security addenda.</t>
  </si>
  <si>
    <t xml:space="preserve">R-1910</t>
  </si>
  <si>
    <t xml:space="preserve">Referred out</t>
  </si>
  <si>
    <t xml:space="preserve">R. Mensah</t>
  </si>
  <si>
    <t xml:space="preserve">D-300</t>
  </si>
  <si>
    <t xml:space="preserve">Finance</t>
  </si>
  <si>
    <t xml:space="preserve">Corporate functions</t>
  </si>
  <si>
    <t xml:space="preserve">Entity, audit, and treasury work.</t>
  </si>
  <si>
    <t xml:space="preserve">R-1918</t>
  </si>
  <si>
    <t xml:space="preserve">Procurement</t>
  </si>
  <si>
    <t xml:space="preserve">Reconciliation source for shadow demand.</t>
  </si>
  <si>
    <t xml:space="preserve">R-1903</t>
  </si>
  <si>
    <t xml:space="preserve">C. Nakamura</t>
  </si>
  <si>
    <t xml:space="preserve">D-400</t>
  </si>
  <si>
    <t xml:space="preserve">People</t>
  </si>
  <si>
    <t xml:space="preserve">Employment and immigration.</t>
  </si>
  <si>
    <t xml:space="preserve">R-1915</t>
  </si>
  <si>
    <t xml:space="preserve">W. Kearns</t>
  </si>
  <si>
    <t xml:space="preserve">Operations</t>
  </si>
  <si>
    <t xml:space="preserve">Facilities, logistics, supplier terms.</t>
  </si>
  <si>
    <t xml:space="preserve">R-1904</t>
  </si>
  <si>
    <t xml:space="preserve">M. Duval</t>
  </si>
  <si>
    <t xml:space="preserve">R-1917</t>
  </si>
  <si>
    <t xml:space="preserve">F. Lindqvist</t>
  </si>
  <si>
    <t xml:space="preserve">R-1902</t>
  </si>
  <si>
    <t xml:space="preserve">R-1906</t>
  </si>
  <si>
    <t xml:space="preserve">R-1911</t>
  </si>
  <si>
    <t xml:space="preserve">J. Halloway</t>
  </si>
  <si>
    <t xml:space="preserve">R-1912</t>
  </si>
  <si>
    <t xml:space="preserve">R-1920</t>
  </si>
  <si>
    <t xml:space="preserve">T. Braddock</t>
  </si>
  <si>
    <t xml:space="preserve">R-1908</t>
  </si>
  <si>
    <t xml:space="preserve">R-1914</t>
  </si>
  <si>
    <t xml:space="preserve">R-1907</t>
  </si>
  <si>
    <t xml:space="preserve">R-1905</t>
  </si>
  <si>
    <t xml:space="preserve">R-1916</t>
  </si>
  <si>
    <t xml:space="preserve">R-2020</t>
  </si>
  <si>
    <t xml:space="preserve">R-2077</t>
  </si>
  <si>
    <t xml:space="preserve">M-1257</t>
  </si>
  <si>
    <t xml:space="preserve">R-2013</t>
  </si>
  <si>
    <t xml:space="preserve">R-2060</t>
  </si>
  <si>
    <t xml:space="preserve">D. Ellery</t>
  </si>
  <si>
    <t xml:space="preserve">M-1114</t>
  </si>
  <si>
    <t xml:space="preserve">R-2045</t>
  </si>
  <si>
    <t xml:space="preserve">R-2095</t>
  </si>
  <si>
    <t xml:space="preserve">R-2115</t>
  </si>
  <si>
    <t xml:space="preserve">M-1241</t>
  </si>
  <si>
    <t xml:space="preserve">R-2113</t>
  </si>
  <si>
    <t xml:space="preserve">R-2056</t>
  </si>
  <si>
    <t xml:space="preserve">M-1121</t>
  </si>
  <si>
    <t xml:space="preserve">R-2069</t>
  </si>
  <si>
    <t xml:space="preserve">R-2114</t>
  </si>
  <si>
    <t xml:space="preserve">R-2002</t>
  </si>
  <si>
    <t xml:space="preserve">A. Ferris</t>
  </si>
  <si>
    <t xml:space="preserve">R-2042</t>
  </si>
  <si>
    <t xml:space="preserve">R-2040</t>
  </si>
  <si>
    <t xml:space="preserve">K. Osei</t>
  </si>
  <si>
    <t xml:space="preserve">R-2112</t>
  </si>
  <si>
    <t xml:space="preserve">L. Trent</t>
  </si>
  <si>
    <t xml:space="preserve">R-2035</t>
  </si>
  <si>
    <t xml:space="preserve">M-1064</t>
  </si>
  <si>
    <t xml:space="preserve">R-2057</t>
  </si>
  <si>
    <t xml:space="preserve">R-2046</t>
  </si>
  <si>
    <t xml:space="preserve">R-2107</t>
  </si>
  <si>
    <t xml:space="preserve">M-1073</t>
  </si>
  <si>
    <t xml:space="preserve">R-2104</t>
  </si>
  <si>
    <t xml:space="preserve">E. Vasquez</t>
  </si>
  <si>
    <t xml:space="preserve">M-1063</t>
  </si>
  <si>
    <t xml:space="preserve">R-2048</t>
  </si>
  <si>
    <t xml:space="preserve">R-2089</t>
  </si>
  <si>
    <t xml:space="preserve">R-2076</t>
  </si>
  <si>
    <t xml:space="preserve">M-1112</t>
  </si>
  <si>
    <t xml:space="preserve">R-2084</t>
  </si>
  <si>
    <t xml:space="preserve">M-1116</t>
  </si>
  <si>
    <t xml:space="preserve">R-2006</t>
  </si>
  <si>
    <t xml:space="preserve">R-2079</t>
  </si>
  <si>
    <t xml:space="preserve">M-1268</t>
  </si>
  <si>
    <t xml:space="preserve">R-2098</t>
  </si>
  <si>
    <t xml:space="preserve">M-1247</t>
  </si>
  <si>
    <t xml:space="preserve">R-2072</t>
  </si>
  <si>
    <t xml:space="preserve">R-2118</t>
  </si>
  <si>
    <t xml:space="preserve">M-1239</t>
  </si>
  <si>
    <t xml:space="preserve">R-2032</t>
  </si>
  <si>
    <t xml:space="preserve">M-1109</t>
  </si>
  <si>
    <t xml:space="preserve">R-2001</t>
  </si>
  <si>
    <t xml:space="preserve">M-1065</t>
  </si>
  <si>
    <t xml:space="preserve">R-2068</t>
  </si>
  <si>
    <t xml:space="preserve">R-2103</t>
  </si>
  <si>
    <t xml:space="preserve">R-2100</t>
  </si>
  <si>
    <t xml:space="preserve">M-1077</t>
  </si>
  <si>
    <t xml:space="preserve">R-2094</t>
  </si>
  <si>
    <t xml:space="preserve">R-2019</t>
  </si>
  <si>
    <t xml:space="preserve">R-2026</t>
  </si>
  <si>
    <t xml:space="preserve">M-1242</t>
  </si>
  <si>
    <t xml:space="preserve">R-2102</t>
  </si>
  <si>
    <t xml:space="preserve">M-1102</t>
  </si>
  <si>
    <t xml:space="preserve">R-2097</t>
  </si>
  <si>
    <t xml:space="preserve">M-1061</t>
  </si>
  <si>
    <t xml:space="preserve">R-2080</t>
  </si>
  <si>
    <t xml:space="preserve">M-1097</t>
  </si>
  <si>
    <t xml:space="preserve">R-2099</t>
  </si>
  <si>
    <t xml:space="preserve">M-1092</t>
  </si>
  <si>
    <t xml:space="preserve">R-2054</t>
  </si>
  <si>
    <t xml:space="preserve">R-2083</t>
  </si>
  <si>
    <t xml:space="preserve">M-1264</t>
  </si>
  <si>
    <t xml:space="preserve">R-2062</t>
  </si>
  <si>
    <t xml:space="preserve">R-2117</t>
  </si>
  <si>
    <t xml:space="preserve">M-1237</t>
  </si>
  <si>
    <t xml:space="preserve">R-2044</t>
  </si>
  <si>
    <t xml:space="preserve">R-2110</t>
  </si>
  <si>
    <t xml:space="preserve">R-2075</t>
  </si>
  <si>
    <t xml:space="preserve">M-1075</t>
  </si>
  <si>
    <t xml:space="preserve">R-2041</t>
  </si>
  <si>
    <t xml:space="preserve">M-1090</t>
  </si>
  <si>
    <t xml:space="preserve">R-2017</t>
  </si>
  <si>
    <t xml:space="preserve">R-2034</t>
  </si>
  <si>
    <t xml:space="preserve">R-2011</t>
  </si>
  <si>
    <t xml:space="preserve">M-1266</t>
  </si>
  <si>
    <t xml:space="preserve">R-2087</t>
  </si>
  <si>
    <t xml:space="preserve">R-2023</t>
  </si>
  <si>
    <t xml:space="preserve">M-1089</t>
  </si>
  <si>
    <t xml:space="preserve">R-2090</t>
  </si>
  <si>
    <t xml:space="preserve">R-2061</t>
  </si>
  <si>
    <t xml:space="preserve">M-1082</t>
  </si>
  <si>
    <t xml:space="preserve">R-2022</t>
  </si>
  <si>
    <t xml:space="preserve">M-1244</t>
  </si>
  <si>
    <t xml:space="preserve">R-2027</t>
  </si>
  <si>
    <t xml:space="preserve">R-2064</t>
  </si>
  <si>
    <t xml:space="preserve">M-1080</t>
  </si>
  <si>
    <t xml:space="preserve">R-2047</t>
  </si>
  <si>
    <t xml:space="preserve">M-1128</t>
  </si>
  <si>
    <t xml:space="preserve">R-2038</t>
  </si>
  <si>
    <t xml:space="preserve">M-1130</t>
  </si>
  <si>
    <t xml:space="preserve">R-2116</t>
  </si>
  <si>
    <t xml:space="preserve">M-1106</t>
  </si>
  <si>
    <t xml:space="preserve">R-2120</t>
  </si>
  <si>
    <t xml:space="preserve">M-1111</t>
  </si>
  <si>
    <t xml:space="preserve">R-2012</t>
  </si>
  <si>
    <t xml:space="preserve">R-2007</t>
  </si>
  <si>
    <t xml:space="preserve">M-1084</t>
  </si>
  <si>
    <t xml:space="preserve">R-2018</t>
  </si>
  <si>
    <t xml:space="preserve">R-2085</t>
  </si>
  <si>
    <t xml:space="preserve">M-1126</t>
  </si>
  <si>
    <t xml:space="preserve">R-2067</t>
  </si>
  <si>
    <t xml:space="preserve">R-2059</t>
  </si>
  <si>
    <t xml:space="preserve">R-2106</t>
  </si>
  <si>
    <t xml:space="preserve">M-1117</t>
  </si>
  <si>
    <t xml:space="preserve">R-2008</t>
  </si>
  <si>
    <t xml:space="preserve">M-1129</t>
  </si>
  <si>
    <t xml:space="preserve">R-2058</t>
  </si>
  <si>
    <t xml:space="preserve">M-1067</t>
  </si>
  <si>
    <t xml:space="preserve">R-2009</t>
  </si>
  <si>
    <t xml:space="preserve">M-1262</t>
  </si>
  <si>
    <t xml:space="preserve">R-2109</t>
  </si>
  <si>
    <t xml:space="preserve">R-2005</t>
  </si>
  <si>
    <t xml:space="preserve">R-2065</t>
  </si>
  <si>
    <t xml:space="preserve">R-2004</t>
  </si>
  <si>
    <t xml:space="preserve">M-1243</t>
  </si>
  <si>
    <t xml:space="preserve">R-2088</t>
  </si>
  <si>
    <t xml:space="preserve">R-2092</t>
  </si>
  <si>
    <t xml:space="preserve">M-1085</t>
  </si>
  <si>
    <t xml:space="preserve">R-2078</t>
  </si>
  <si>
    <t xml:space="preserve">M-1122</t>
  </si>
  <si>
    <t xml:space="preserve">R-2093</t>
  </si>
  <si>
    <t xml:space="preserve">Yes</t>
  </si>
  <si>
    <t xml:space="preserve">R-2073</t>
  </si>
  <si>
    <t xml:space="preserve">R-2119</t>
  </si>
  <si>
    <t xml:space="preserve">R-2028</t>
  </si>
  <si>
    <t xml:space="preserve">R-2086</t>
  </si>
  <si>
    <t xml:space="preserve">R-2082</t>
  </si>
  <si>
    <t xml:space="preserve">R-2063</t>
  </si>
  <si>
    <t xml:space="preserve">R-2015</t>
  </si>
  <si>
    <t xml:space="preserve">R-2108</t>
  </si>
  <si>
    <t xml:space="preserve">M-1068</t>
  </si>
  <si>
    <t xml:space="preserve">R-2031</t>
  </si>
  <si>
    <t xml:space="preserve">R-2025</t>
  </si>
  <si>
    <t xml:space="preserve">M-1110</t>
  </si>
  <si>
    <t xml:space="preserve">R-2003</t>
  </si>
  <si>
    <t xml:space="preserve">M-1267</t>
  </si>
  <si>
    <t xml:space="preserve">R-2021</t>
  </si>
  <si>
    <t xml:space="preserve">R-2091</t>
  </si>
  <si>
    <t xml:space="preserve">M-1248</t>
  </si>
  <si>
    <t xml:space="preserve">R-2081</t>
  </si>
  <si>
    <t xml:space="preserve">R-2070</t>
  </si>
  <si>
    <t xml:space="preserve">R-2053</t>
  </si>
  <si>
    <t xml:space="preserve">R-2030</t>
  </si>
  <si>
    <t xml:space="preserve">M-1246</t>
  </si>
  <si>
    <t xml:space="preserve">R-2052</t>
  </si>
  <si>
    <t xml:space="preserve">M-1261</t>
  </si>
  <si>
    <t xml:space="preserve">R-2066</t>
  </si>
  <si>
    <t xml:space="preserve">M-1123</t>
  </si>
  <si>
    <t xml:space="preserve">R-2029</t>
  </si>
  <si>
    <t xml:space="preserve">M-1254</t>
  </si>
  <si>
    <t xml:space="preserve">R-2050</t>
  </si>
  <si>
    <t xml:space="preserve">M-1069</t>
  </si>
  <si>
    <t xml:space="preserve">R-2051</t>
  </si>
  <si>
    <t xml:space="preserve">M-1240</t>
  </si>
  <si>
    <t xml:space="preserve">R-2036</t>
  </si>
  <si>
    <t xml:space="preserve">M-1236</t>
  </si>
  <si>
    <t xml:space="preserve">R-2014</t>
  </si>
  <si>
    <t xml:space="preserve">M-1095</t>
  </si>
  <si>
    <t xml:space="preserve">R-2037</t>
  </si>
  <si>
    <t xml:space="preserve">R-2074</t>
  </si>
  <si>
    <t xml:space="preserve">R-2049</t>
  </si>
  <si>
    <t xml:space="preserve">M-1096</t>
  </si>
  <si>
    <t xml:space="preserve">R-2055</t>
  </si>
  <si>
    <t xml:space="preserve">M-1094</t>
  </si>
  <si>
    <t xml:space="preserve">R-2111</t>
  </si>
  <si>
    <t xml:space="preserve">R-2016</t>
  </si>
  <si>
    <t xml:space="preserve">R-2033</t>
  </si>
  <si>
    <t xml:space="preserve">R-2043</t>
  </si>
  <si>
    <t xml:space="preserve">M-1078</t>
  </si>
  <si>
    <t xml:space="preserve">R-2071</t>
  </si>
  <si>
    <t xml:space="preserve">R-2096</t>
  </si>
  <si>
    <t xml:space="preserve">M-1088</t>
  </si>
  <si>
    <t xml:space="preserve">R-2039</t>
  </si>
  <si>
    <t xml:space="preserve">M-1062</t>
  </si>
  <si>
    <t xml:space="preserve">R-2101</t>
  </si>
  <si>
    <t xml:space="preserve">R-2024</t>
  </si>
  <si>
    <t xml:space="preserve">M-1250</t>
  </si>
  <si>
    <t xml:space="preserve">R-2105</t>
  </si>
  <si>
    <t xml:space="preserve">R-2010</t>
  </si>
  <si>
    <t xml:space="preserve">One row per matter. Category and status are two separate tags, set independently. Category rarely changes; status changes constantly. Category is Project, Portfolio, or Advisory. Advice is optional: use it only if your department keeps one-off advice separate. It counts like Portfolio, so it stays out of work in vs. work cleared and stalled-matter.</t>
  </si>
  <si>
    <t xml:space="preserve">Feeds: Work in vs. work cleared  ·  Stalled-matter rate  ·  Load per lawyer</t>
  </si>
  <si>
    <t xml:space="preserve">Matter ID</t>
  </si>
  <si>
    <t xml:space="preserve">Matter name</t>
  </si>
  <si>
    <t xml:space="preserve">Practice area</t>
  </si>
  <si>
    <t xml:space="preserve">Native status</t>
  </si>
  <si>
    <t xml:space="preserve">Standard status</t>
  </si>
  <si>
    <t xml:space="preserve">Matter category</t>
  </si>
  <si>
    <t xml:space="preserve">Opened</t>
  </si>
  <si>
    <t xml:space="preserve">Closed</t>
  </si>
  <si>
    <t xml:space="preserve">Last activity</t>
  </si>
  <si>
    <t xml:space="preserve">Owner</t>
  </si>
  <si>
    <t xml:space="preserve">Assigned lawyer</t>
  </si>
  <si>
    <t xml:space="preserve">Carried by</t>
  </si>
  <si>
    <t xml:space="preserve">Days since activity</t>
  </si>
  <si>
    <t xml:space="preserve">Stalled?</t>
  </si>
  <si>
    <t xml:space="preserve">Opened in period?</t>
  </si>
  <si>
    <t xml:space="preserve">Cleared in period?</t>
  </si>
  <si>
    <t xml:space="preserve">Open project matter?</t>
  </si>
  <si>
    <t xml:space="preserve">Counts toward load (in-house)?</t>
  </si>
  <si>
    <t xml:space="preserve">Status map key</t>
  </si>
  <si>
    <t xml:space="preserve">Open, carried by an outside provider?</t>
  </si>
  <si>
    <t xml:space="preserve">Investigation, Calder Foods matter</t>
  </si>
  <si>
    <t xml:space="preserve">Employment</t>
  </si>
  <si>
    <t xml:space="preserve">Complaint or claim received</t>
  </si>
  <si>
    <t xml:space="preserve">Project</t>
  </si>
  <si>
    <t xml:space="preserve">Alice Nkemdirim</t>
  </si>
  <si>
    <t xml:space="preserve">Dana Whitfield</t>
  </si>
  <si>
    <t xml:space="preserve">In-house</t>
  </si>
  <si>
    <t xml:space="preserve">M-1301</t>
  </si>
  <si>
    <t xml:space="preserve">Silverbrook Labs v. Northwind</t>
  </si>
  <si>
    <t xml:space="preserve">Litigation</t>
  </si>
  <si>
    <t xml:space="preserve">Settled, dismissed, or judgment entered</t>
  </si>
  <si>
    <t xml:space="preserve">Hector Alvarez</t>
  </si>
  <si>
    <t xml:space="preserve">M-1132</t>
  </si>
  <si>
    <t xml:space="preserve">Reseller agreement, Estuary Bank</t>
  </si>
  <si>
    <t xml:space="preserve">Contracts</t>
  </si>
  <si>
    <t xml:space="preserve">Out for signature or awaiting the counterparty</t>
  </si>
  <si>
    <t xml:space="preserve">Grace Liu</t>
  </si>
  <si>
    <t xml:space="preserve">Tom Beckley</t>
  </si>
  <si>
    <t xml:space="preserve">M-1341</t>
  </si>
  <si>
    <t xml:space="preserve">L-1 transfer, Larkspur Health</t>
  </si>
  <si>
    <t xml:space="preserve">Immigration and visas</t>
  </si>
  <si>
    <t xml:space="preserve">Denied or withdrawn</t>
  </si>
  <si>
    <t xml:space="preserve">M-1136</t>
  </si>
  <si>
    <t xml:space="preserve">Visa renewal, Calder Foods</t>
  </si>
  <si>
    <t xml:space="preserve">Petition or an evidence response being prepared</t>
  </si>
  <si>
    <t xml:space="preserve">Ben Sorensen</t>
  </si>
  <si>
    <t xml:space="preserve">M-1360</t>
  </si>
  <si>
    <t xml:space="preserve">Separation agreement, Ridgeline Systems</t>
  </si>
  <si>
    <t xml:space="preserve">Resolved or closed</t>
  </si>
  <si>
    <t xml:space="preserve">Priya Raman</t>
  </si>
  <si>
    <t xml:space="preserve">M-1137</t>
  </si>
  <si>
    <t xml:space="preserve">L-1 transfer, Bexley Software</t>
  </si>
  <si>
    <t xml:space="preserve">Reseller agreement, Auburn Logistics</t>
  </si>
  <si>
    <t xml:space="preserve">Executed</t>
  </si>
  <si>
    <t xml:space="preserve">M-1376</t>
  </si>
  <si>
    <t xml:space="preserve">NDA, Auburn Logistics</t>
  </si>
  <si>
    <t xml:space="preserve">Expired or terminated</t>
  </si>
  <si>
    <t xml:space="preserve">Advisory</t>
  </si>
  <si>
    <t xml:space="preserve">M-1363</t>
  </si>
  <si>
    <t xml:space="preserve">Demand letter from Tallgrass Utilities</t>
  </si>
  <si>
    <t xml:space="preserve">M-1217</t>
  </si>
  <si>
    <t xml:space="preserve">Annual filing, Sable Chemicals</t>
  </si>
  <si>
    <t xml:space="preserve">Corporate and entity management</t>
  </si>
  <si>
    <t xml:space="preserve">Request logged, not started</t>
  </si>
  <si>
    <t xml:space="preserve">Investigation, Marlow Textiles matter</t>
  </si>
  <si>
    <t xml:space="preserve">DPA amendment, Pinnacle Freight</t>
  </si>
  <si>
    <t xml:space="preserve">Drafting, review, or negotiation</t>
  </si>
  <si>
    <t xml:space="preserve">Marcus Ortiz</t>
  </si>
  <si>
    <t xml:space="preserve">M-1155</t>
  </si>
  <si>
    <t xml:space="preserve">Green card, PERM, Harborlight Media</t>
  </si>
  <si>
    <t xml:space="preserve">Rowan Fitzgerald (Fitzgerald &amp; Hale)</t>
  </si>
  <si>
    <t xml:space="preserve">Outside provider</t>
  </si>
  <si>
    <t xml:space="preserve">M-1304</t>
  </si>
  <si>
    <t xml:space="preserve">Accommodation request, Nordhaven Group</t>
  </si>
  <si>
    <t xml:space="preserve">M-1343</t>
  </si>
  <si>
    <t xml:space="preserve">Acquisition of Gallant Foods</t>
  </si>
  <si>
    <t xml:space="preserve">M&amp;A and corporate deals</t>
  </si>
  <si>
    <t xml:space="preserve">Deal closed</t>
  </si>
  <si>
    <t xml:space="preserve">DPA amendment, Silverbrook Labs</t>
  </si>
  <si>
    <t xml:space="preserve">M-1178</t>
  </si>
  <si>
    <t xml:space="preserve">Green card, PERM, Auburn Logistics</t>
  </si>
  <si>
    <t xml:space="preserve">Case opened, gathering documents</t>
  </si>
  <si>
    <t xml:space="preserve">M-1025</t>
  </si>
  <si>
    <t xml:space="preserve">Visa renewal, Pinnacle Freight</t>
  </si>
  <si>
    <t xml:space="preserve">Approved, renewal window tracked</t>
  </si>
  <si>
    <t xml:space="preserve">Portfolio</t>
  </si>
  <si>
    <t xml:space="preserve">Separation agreement, Windward Insurance</t>
  </si>
  <si>
    <t xml:space="preserve">M-1196</t>
  </si>
  <si>
    <t xml:space="preserve">Breach of contract, Trenton Manufacturing</t>
  </si>
  <si>
    <t xml:space="preserve">Active discovery, motions, or trial prep</t>
  </si>
  <si>
    <t xml:space="preserve">M-1007</t>
  </si>
  <si>
    <t xml:space="preserve">Joint venture, Ridgeline Systems</t>
  </si>
  <si>
    <t xml:space="preserve">Post-closing obligations tracked</t>
  </si>
  <si>
    <t xml:space="preserve">M-1147</t>
  </si>
  <si>
    <t xml:space="preserve">L-1 transfer, Sable Chemicals</t>
  </si>
  <si>
    <t xml:space="preserve">M-1198</t>
  </si>
  <si>
    <t xml:space="preserve">Northwind v. Estuary Bank</t>
  </si>
  <si>
    <t xml:space="preserve">Stayed for a short period</t>
  </si>
  <si>
    <t xml:space="preserve">M-1383</t>
  </si>
  <si>
    <t xml:space="preserve">Investigation, Halcyon Robotics matter</t>
  </si>
  <si>
    <t xml:space="preserve">DPA amendment, Cormorant Capital</t>
  </si>
  <si>
    <t xml:space="preserve">M-1315</t>
  </si>
  <si>
    <t xml:space="preserve">Vendor terms review, Larkspur Health</t>
  </si>
  <si>
    <t xml:space="preserve">H-1B petition, Trenton Manufacturing</t>
  </si>
  <si>
    <t xml:space="preserve">M-1190</t>
  </si>
  <si>
    <t xml:space="preserve">Joint venture, Silverbrook Labs</t>
  </si>
  <si>
    <t xml:space="preserve">Signed, awaiting regulatory approval or closing conditions</t>
  </si>
  <si>
    <t xml:space="preserve">M-1004</t>
  </si>
  <si>
    <t xml:space="preserve">MSA with Halcyon Robotics</t>
  </si>
  <si>
    <t xml:space="preserve">Standing agreement tracked for renewal</t>
  </si>
  <si>
    <t xml:space="preserve">Policy review, Perrin Aerospace</t>
  </si>
  <si>
    <t xml:space="preserve">M-1269</t>
  </si>
  <si>
    <t xml:space="preserve">H-1B petition, Sable Chemicals</t>
  </si>
  <si>
    <t xml:space="preserve">Devon Pike (Pike Immigration)</t>
  </si>
  <si>
    <t xml:space="preserve">Separation agreement, Nordhaven Group</t>
  </si>
  <si>
    <t xml:space="preserve">Acquisition of Auburn Logistics</t>
  </si>
  <si>
    <t xml:space="preserve">M-1381</t>
  </si>
  <si>
    <t xml:space="preserve">Policy review, Vantage Analytics</t>
  </si>
  <si>
    <t xml:space="preserve">M-1223</t>
  </si>
  <si>
    <t xml:space="preserve">Policy review, Quillon Devices</t>
  </si>
  <si>
    <t xml:space="preserve">Investigation underway</t>
  </si>
  <si>
    <t xml:space="preserve">M-1016</t>
  </si>
  <si>
    <t xml:space="preserve">Annual filing, Trenton Manufacturing</t>
  </si>
  <si>
    <t xml:space="preserve">Entity in good standing</t>
  </si>
  <si>
    <t xml:space="preserve">M-1227</t>
  </si>
  <si>
    <t xml:space="preserve">Services agreement, Gallant Foods</t>
  </si>
  <si>
    <t xml:space="preserve">M-1349</t>
  </si>
  <si>
    <t xml:space="preserve">Visa renewal, Silverbrook Labs</t>
  </si>
  <si>
    <t xml:space="preserve">Visa renewal, Quillon Devices</t>
  </si>
  <si>
    <t xml:space="preserve">Joint venture, Larkspur Health</t>
  </si>
  <si>
    <t xml:space="preserve">M-1310</t>
  </si>
  <si>
    <t xml:space="preserve">H-1B petition, Fieldstone Partners</t>
  </si>
  <si>
    <t xml:space="preserve">M-1368</t>
  </si>
  <si>
    <t xml:space="preserve">Investigation, Tallgrass Utilities matter</t>
  </si>
  <si>
    <t xml:space="preserve">M-1366</t>
  </si>
  <si>
    <t xml:space="preserve">Breach of contract, Pinnacle Freight</t>
  </si>
  <si>
    <t xml:space="preserve">M-1218</t>
  </si>
  <si>
    <t xml:space="preserve">Accommodation request, Trenton Manufacturing</t>
  </si>
  <si>
    <t xml:space="preserve">Awaiting the employee, an agency, or outside counsel</t>
  </si>
  <si>
    <t xml:space="preserve">L-1 transfer, Perrin Aerospace</t>
  </si>
  <si>
    <t xml:space="preserve">M-1294</t>
  </si>
  <si>
    <t xml:space="preserve">Separation agreement, Marlow Textiles</t>
  </si>
  <si>
    <t xml:space="preserve">M-1289</t>
  </si>
  <si>
    <t xml:space="preserve">Investigation, Pinnacle Freight matter</t>
  </si>
  <si>
    <t xml:space="preserve">M-1030</t>
  </si>
  <si>
    <t xml:space="preserve">Annual filing, Vantage Analytics</t>
  </si>
  <si>
    <t xml:space="preserve">M-1164</t>
  </si>
  <si>
    <t xml:space="preserve">H-1B petition, Pinnacle Freight</t>
  </si>
  <si>
    <t xml:space="preserve">DPA amendment, Ridgeline Systems</t>
  </si>
  <si>
    <t xml:space="preserve">M-1047</t>
  </si>
  <si>
    <t xml:space="preserve">Acquisition of Larkspur Health</t>
  </si>
  <si>
    <t xml:space="preserve">M-1335</t>
  </si>
  <si>
    <t xml:space="preserve">Joint venture, Cormorant Capital</t>
  </si>
  <si>
    <t xml:space="preserve">Reseller agreement, Larkspur Health</t>
  </si>
  <si>
    <t xml:space="preserve">Request received, not started</t>
  </si>
  <si>
    <t xml:space="preserve">M-1331</t>
  </si>
  <si>
    <t xml:space="preserve">Separation agreement, Verity Payments</t>
  </si>
  <si>
    <t xml:space="preserve">M-1350</t>
  </si>
  <si>
    <t xml:space="preserve">Acquisition of Pinnacle Freight</t>
  </si>
  <si>
    <t xml:space="preserve">M-1138</t>
  </si>
  <si>
    <t xml:space="preserve">Visa renewal, Fieldstone Partners</t>
  </si>
  <si>
    <t xml:space="preserve">Filed, awaiting a decision or with an evidence request pending</t>
  </si>
  <si>
    <t xml:space="preserve">M-1037</t>
  </si>
  <si>
    <t xml:space="preserve">Visa renewal, Cormorant Capital</t>
  </si>
  <si>
    <t xml:space="preserve">M-1024</t>
  </si>
  <si>
    <t xml:space="preserve">Joint venture, Bexley Software</t>
  </si>
  <si>
    <t xml:space="preserve">M-1019</t>
  </si>
  <si>
    <t xml:space="preserve">M-1170</t>
  </si>
  <si>
    <t xml:space="preserve">Bexley Software v. Northwind</t>
  </si>
  <si>
    <t xml:space="preserve">Auburn Logistics v. Northwind</t>
  </si>
  <si>
    <t xml:space="preserve">M-1359</t>
  </si>
  <si>
    <t xml:space="preserve">Policy review, Halcyon Robotics</t>
  </si>
  <si>
    <t xml:space="preserve">M-1060</t>
  </si>
  <si>
    <t xml:space="preserve">H-1B petition, Marlow Textiles</t>
  </si>
  <si>
    <t xml:space="preserve">M-1316</t>
  </si>
  <si>
    <t xml:space="preserve">Entity dissolution, Ridgeline Systems</t>
  </si>
  <si>
    <t xml:space="preserve">Entity dissolved</t>
  </si>
  <si>
    <t xml:space="preserve">M-1385</t>
  </si>
  <si>
    <t xml:space="preserve">Entity dissolution, Vantage Analytics</t>
  </si>
  <si>
    <t xml:space="preserve">M-1133</t>
  </si>
  <si>
    <t xml:space="preserve">Visa renewal, Auburn Logistics</t>
  </si>
  <si>
    <t xml:space="preserve">M-1370</t>
  </si>
  <si>
    <t xml:space="preserve">Verity Payments v. Northwind</t>
  </si>
  <si>
    <t xml:space="preserve">M-1191</t>
  </si>
  <si>
    <t xml:space="preserve">Investigation, Harborlight Media matter</t>
  </si>
  <si>
    <t xml:space="preserve">M-1139</t>
  </si>
  <si>
    <t xml:space="preserve">Services agreement, Auburn Logistics</t>
  </si>
  <si>
    <t xml:space="preserve">M-1131</t>
  </si>
  <si>
    <t xml:space="preserve">Green card, PERM, Silverbrook Labs</t>
  </si>
  <si>
    <t xml:space="preserve">M-1044</t>
  </si>
  <si>
    <t xml:space="preserve">Board consent, Pinnacle Freight</t>
  </si>
  <si>
    <t xml:space="preserve">M-1386</t>
  </si>
  <si>
    <t xml:space="preserve">MSA with Marlow Textiles</t>
  </si>
  <si>
    <t xml:space="preserve">M-1355</t>
  </si>
  <si>
    <t xml:space="preserve">SaaS renewal, Marlow Textiles</t>
  </si>
  <si>
    <t xml:space="preserve">M-1153</t>
  </si>
  <si>
    <t xml:space="preserve">M-1351</t>
  </si>
  <si>
    <t xml:space="preserve">H-1B petition, Bexley Software</t>
  </si>
  <si>
    <t xml:space="preserve">M-1347</t>
  </si>
  <si>
    <t xml:space="preserve">Green card, PERM, Quillon Devices</t>
  </si>
  <si>
    <t xml:space="preserve">M-1329</t>
  </si>
  <si>
    <t xml:space="preserve">Investigation, Ridgeline Systems matter</t>
  </si>
  <si>
    <t xml:space="preserve">M-1188</t>
  </si>
  <si>
    <t xml:space="preserve">Visa renewal, Gallant Foods</t>
  </si>
  <si>
    <t xml:space="preserve">M-1299</t>
  </si>
  <si>
    <t xml:space="preserve">Breach of contract, Perrin Aerospace</t>
  </si>
  <si>
    <t xml:space="preserve">Breach of contract, Verity Payments</t>
  </si>
  <si>
    <t xml:space="preserve">M-1135</t>
  </si>
  <si>
    <t xml:space="preserve">Investigation, Sable Chemicals matter</t>
  </si>
  <si>
    <t xml:space="preserve">M-1207</t>
  </si>
  <si>
    <t xml:space="preserve">Entity formation, Bexley Software</t>
  </si>
  <si>
    <t xml:space="preserve">Formation, change, or dissolution in progress</t>
  </si>
  <si>
    <t xml:space="preserve">M-1323</t>
  </si>
  <si>
    <t xml:space="preserve">Annual filing, Bexley Software</t>
  </si>
  <si>
    <t xml:space="preserve">M-1326</t>
  </si>
  <si>
    <t xml:space="preserve">Separation agreement, Overton Energy</t>
  </si>
  <si>
    <t xml:space="preserve">M-1027</t>
  </si>
  <si>
    <t xml:space="preserve">Annual filing, Tallgrass Utilities</t>
  </si>
  <si>
    <t xml:space="preserve">M-1352</t>
  </si>
  <si>
    <t xml:space="preserve">Acquisition of Sable Chemicals</t>
  </si>
  <si>
    <t xml:space="preserve">M-1043</t>
  </si>
  <si>
    <t xml:space="preserve">Patent maintenance, Ridgeline Systems</t>
  </si>
  <si>
    <t xml:space="preserve">IP: patents and trademarks</t>
  </si>
  <si>
    <t xml:space="preserve">Issued or registered, in maintenance</t>
  </si>
  <si>
    <t xml:space="preserve">Breach of contract, Ridgeline Systems</t>
  </si>
  <si>
    <t xml:space="preserve">M-1336</t>
  </si>
  <si>
    <t xml:space="preserve">Acquisition of Estuary Bank</t>
  </si>
  <si>
    <t xml:space="preserve">Breach of contract, Halcyon Robotics</t>
  </si>
  <si>
    <t xml:space="preserve">Separation agreement, Silverbrook Labs</t>
  </si>
  <si>
    <t xml:space="preserve">M-1333</t>
  </si>
  <si>
    <t xml:space="preserve">Vendor terms review, Gallant Foods</t>
  </si>
  <si>
    <t xml:space="preserve">Estuary Bank v. Northwind</t>
  </si>
  <si>
    <t xml:space="preserve">Awaiting a ruling, a hearing date, or the other side</t>
  </si>
  <si>
    <t xml:space="preserve">Accommodation request, Larkspur Health</t>
  </si>
  <si>
    <t xml:space="preserve">M-1375</t>
  </si>
  <si>
    <t xml:space="preserve">Post-closing obligations, Estuary Bank</t>
  </si>
  <si>
    <t xml:space="preserve">M-1039</t>
  </si>
  <si>
    <t xml:space="preserve">Patent application, Calder Foods</t>
  </si>
  <si>
    <t xml:space="preserve">Post-closing obligations, Larkspur Health</t>
  </si>
  <si>
    <t xml:space="preserve">Simone Kovac (Kovac IP)</t>
  </si>
  <si>
    <t xml:space="preserve">M-1374</t>
  </si>
  <si>
    <t xml:space="preserve">Joint venture, Halcyon Robotics</t>
  </si>
  <si>
    <t xml:space="preserve">M-1162</t>
  </si>
  <si>
    <t xml:space="preserve">Separation agreement, Cormorant Capital</t>
  </si>
  <si>
    <t xml:space="preserve">M-1224</t>
  </si>
  <si>
    <t xml:space="preserve">NDA, Calder Foods</t>
  </si>
  <si>
    <t xml:space="preserve">M-1201</t>
  </si>
  <si>
    <t xml:space="preserve">Reseller agreement, Marlow Textiles</t>
  </si>
  <si>
    <t xml:space="preserve">M-1273</t>
  </si>
  <si>
    <t xml:space="preserve">Asset purchase, Harborlight Media</t>
  </si>
  <si>
    <t xml:space="preserve">M-1389</t>
  </si>
  <si>
    <t xml:space="preserve">Accommodation request, Silverbrook Labs</t>
  </si>
  <si>
    <t xml:space="preserve">M-1158</t>
  </si>
  <si>
    <t xml:space="preserve">Wage and hour claim, Ridgeline Systems</t>
  </si>
  <si>
    <t xml:space="preserve">M-1324</t>
  </si>
  <si>
    <t xml:space="preserve">Board consent, Halcyon Robotics</t>
  </si>
  <si>
    <t xml:space="preserve">M-1028</t>
  </si>
  <si>
    <t xml:space="preserve">Green card, PERM, Estuary Bank</t>
  </si>
  <si>
    <t xml:space="preserve">Due diligence and negotiation underway</t>
  </si>
  <si>
    <t xml:space="preserve">M-1151</t>
  </si>
  <si>
    <t xml:space="preserve">Separation agreement, Calder Foods</t>
  </si>
  <si>
    <t xml:space="preserve">M-1307</t>
  </si>
  <si>
    <t xml:space="preserve">Vendor terms review, Verity Payments</t>
  </si>
  <si>
    <t xml:space="preserve">Breach of contract, Larkspur Health</t>
  </si>
  <si>
    <t xml:space="preserve">M-1357</t>
  </si>
  <si>
    <t xml:space="preserve">Post-closing obligations, Overton Energy</t>
  </si>
  <si>
    <t xml:space="preserve">M-1140</t>
  </si>
  <si>
    <t xml:space="preserve">M-1365</t>
  </si>
  <si>
    <t xml:space="preserve">Accommodation request, Verity Payments</t>
  </si>
  <si>
    <t xml:space="preserve">M-1176</t>
  </si>
  <si>
    <t xml:space="preserve">Statement of work, Windward Insurance</t>
  </si>
  <si>
    <t xml:space="preserve">M-1371</t>
  </si>
  <si>
    <t xml:space="preserve">Wage and hour claim, Halcyon Robotics</t>
  </si>
  <si>
    <t xml:space="preserve">M-1177</t>
  </si>
  <si>
    <t xml:space="preserve">Investigation, Larkspur Health matter</t>
  </si>
  <si>
    <t xml:space="preserve">M-1340</t>
  </si>
  <si>
    <t xml:space="preserve">SaaS renewal, Tallgrass Utilities</t>
  </si>
  <si>
    <t xml:space="preserve">M-1041</t>
  </si>
  <si>
    <t xml:space="preserve">Trademark, Pinnacle Freight</t>
  </si>
  <si>
    <t xml:space="preserve">M-1171</t>
  </si>
  <si>
    <t xml:space="preserve">L-1 transfer, Cormorant Capital</t>
  </si>
  <si>
    <t xml:space="preserve">M-1150</t>
  </si>
  <si>
    <t xml:space="preserve">Green card, PERM, Sable Chemicals</t>
  </si>
  <si>
    <t xml:space="preserve">M-1222</t>
  </si>
  <si>
    <t xml:space="preserve">Entity dissolution, Tallgrass Utilities</t>
  </si>
  <si>
    <t xml:space="preserve">SaaS renewal, Trenton Manufacturing</t>
  </si>
  <si>
    <t xml:space="preserve">M-1186</t>
  </si>
  <si>
    <t xml:space="preserve">Statement of work, Trenton Manufacturing</t>
  </si>
  <si>
    <t xml:space="preserve">M-1048</t>
  </si>
  <si>
    <t xml:space="preserve">L-1 transfer, Windward Insurance</t>
  </si>
  <si>
    <t xml:space="preserve">M-1279</t>
  </si>
  <si>
    <t xml:space="preserve">Separation agreement, Ashgrove Retail</t>
  </si>
  <si>
    <t xml:space="preserve">Wage and hour claim, Ashgrove Retail</t>
  </si>
  <si>
    <t xml:space="preserve">M-1152</t>
  </si>
  <si>
    <t xml:space="preserve">Joint venture, Overton Energy</t>
  </si>
  <si>
    <t xml:space="preserve">Term sheet or letter of intent under discussion</t>
  </si>
  <si>
    <t xml:space="preserve">M-1221</t>
  </si>
  <si>
    <t xml:space="preserve">M-1203</t>
  </si>
  <si>
    <t xml:space="preserve">Visa renewal, Larkspur Health</t>
  </si>
  <si>
    <t xml:space="preserve">M-1040</t>
  </si>
  <si>
    <t xml:space="preserve">Trademark, Calder Foods</t>
  </si>
  <si>
    <t xml:space="preserve">M-1332</t>
  </si>
  <si>
    <t xml:space="preserve">Joint venture, Sable Chemicals</t>
  </si>
  <si>
    <t xml:space="preserve">M-1006</t>
  </si>
  <si>
    <t xml:space="preserve">NDA, Ridgeline Systems</t>
  </si>
  <si>
    <t xml:space="preserve">Wage and hour claim, Bexley Software</t>
  </si>
  <si>
    <t xml:space="preserve">M-1281</t>
  </si>
  <si>
    <t xml:space="preserve">Separation agreement, Quillon Devices</t>
  </si>
  <si>
    <t xml:space="preserve">Wage and hour claim, Calder Foods</t>
  </si>
  <si>
    <t xml:space="preserve">L-1 transfer, Gallant Foods</t>
  </si>
  <si>
    <t xml:space="preserve">M-1009</t>
  </si>
  <si>
    <t xml:space="preserve">SaaS renewal, Verity Payments</t>
  </si>
  <si>
    <t xml:space="preserve">M-1358</t>
  </si>
  <si>
    <t xml:space="preserve">Services agreement, Estuary Bank</t>
  </si>
  <si>
    <t xml:space="preserve">M-1053</t>
  </si>
  <si>
    <t xml:space="preserve">Reseller agreement, Halcyon Robotics</t>
  </si>
  <si>
    <t xml:space="preserve">M-1330</t>
  </si>
  <si>
    <t xml:space="preserve">Annual filing, Nordhaven Group</t>
  </si>
  <si>
    <t xml:space="preserve">Joint venture, Ashgrove Retail</t>
  </si>
  <si>
    <t xml:space="preserve">M-1204</t>
  </si>
  <si>
    <t xml:space="preserve">Investigation, Verity Payments matter</t>
  </si>
  <si>
    <t xml:space="preserve">M-1187</t>
  </si>
  <si>
    <t xml:space="preserve">M-1388</t>
  </si>
  <si>
    <t xml:space="preserve">Investigation, Quillon Devices matter</t>
  </si>
  <si>
    <t xml:space="preserve">M-1232</t>
  </si>
  <si>
    <t xml:space="preserve">Entity dissolution, Halcyon Robotics</t>
  </si>
  <si>
    <t xml:space="preserve">Awaiting a state or registry filing to process</t>
  </si>
  <si>
    <t xml:space="preserve">M-1160</t>
  </si>
  <si>
    <t xml:space="preserve">Visa renewal, Overton Energy</t>
  </si>
  <si>
    <t xml:space="preserve">M-1292</t>
  </si>
  <si>
    <t xml:space="preserve">Post-closing obligations, Ashgrove Retail</t>
  </si>
  <si>
    <t xml:space="preserve">Reseller agreement, Quillon Devices</t>
  </si>
  <si>
    <t xml:space="preserve">MSA with Nordhaven Group</t>
  </si>
  <si>
    <t xml:space="preserve">M-1002</t>
  </si>
  <si>
    <t xml:space="preserve">Statement of work, Perrin Aerospace</t>
  </si>
  <si>
    <t xml:space="preserve">Services agreement, Fieldstone Partners</t>
  </si>
  <si>
    <t xml:space="preserve">M-1373</t>
  </si>
  <si>
    <t xml:space="preserve">Acquisition of Nordhaven Group</t>
  </si>
  <si>
    <t xml:space="preserve">M-1378</t>
  </si>
  <si>
    <t xml:space="preserve">M-1317</t>
  </si>
  <si>
    <t xml:space="preserve">DPA amendment, Quillon Devices</t>
  </si>
  <si>
    <t xml:space="preserve">M-1234</t>
  </si>
  <si>
    <t xml:space="preserve">Entity dissolution, Cormorant Capital</t>
  </si>
  <si>
    <t xml:space="preserve">M-1056</t>
  </si>
  <si>
    <t xml:space="preserve">M-1015</t>
  </si>
  <si>
    <t xml:space="preserve">M-1275</t>
  </si>
  <si>
    <t xml:space="preserve">Investigation, Auburn Logistics matter</t>
  </si>
  <si>
    <t xml:space="preserve">M-1225</t>
  </si>
  <si>
    <t xml:space="preserve">M-1311</t>
  </si>
  <si>
    <t xml:space="preserve">M-1288</t>
  </si>
  <si>
    <t xml:space="preserve">Breach of contract, Bexley Software</t>
  </si>
  <si>
    <t xml:space="preserve">M-1026</t>
  </si>
  <si>
    <t xml:space="preserve">H-1B petition, Overton Energy</t>
  </si>
  <si>
    <t xml:space="preserve">M-1143</t>
  </si>
  <si>
    <t xml:space="preserve">M-1216</t>
  </si>
  <si>
    <t xml:space="preserve">Entity dissolution, Gallant Foods</t>
  </si>
  <si>
    <t xml:space="preserve">M-1334</t>
  </si>
  <si>
    <t xml:space="preserve">L-1 transfer, Silverbrook Labs</t>
  </si>
  <si>
    <t xml:space="preserve">M-1345</t>
  </si>
  <si>
    <t xml:space="preserve">Acquisition of Ridgeline Systems</t>
  </si>
  <si>
    <t xml:space="preserve">L-1 transfer, Nordhaven Group</t>
  </si>
  <si>
    <t xml:space="preserve">M-1168</t>
  </si>
  <si>
    <t xml:space="preserve">Accommodation request, Harborlight Media</t>
  </si>
  <si>
    <t xml:space="preserve">M-1215</t>
  </si>
  <si>
    <t xml:space="preserve">Board consent, Trenton Manufacturing</t>
  </si>
  <si>
    <t xml:space="preserve">M-1175</t>
  </si>
  <si>
    <t xml:space="preserve">Visa renewal, Ashgrove Retail</t>
  </si>
  <si>
    <t xml:space="preserve">M-1362</t>
  </si>
  <si>
    <t xml:space="preserve">Accommodation request, Pinnacle Freight</t>
  </si>
  <si>
    <t xml:space="preserve">M-1185</t>
  </si>
  <si>
    <t xml:space="preserve">SaaS renewal, Sable Chemicals</t>
  </si>
  <si>
    <t xml:space="preserve">M-1339</t>
  </si>
  <si>
    <t xml:space="preserve">M-1052</t>
  </si>
  <si>
    <t xml:space="preserve">Acquisition of Ashgrove Retail</t>
  </si>
  <si>
    <t xml:space="preserve">M-1319</t>
  </si>
  <si>
    <t xml:space="preserve">Annual filing, Harborlight Media</t>
  </si>
  <si>
    <t xml:space="preserve">M-1344</t>
  </si>
  <si>
    <t xml:space="preserve">Accommodation request, Auburn Logistics</t>
  </si>
  <si>
    <t xml:space="preserve">M-1226</t>
  </si>
  <si>
    <t xml:space="preserve">Entity formation, Fieldstone Partners</t>
  </si>
  <si>
    <t xml:space="preserve">M-1210</t>
  </si>
  <si>
    <t xml:space="preserve">Policy review, Gallant Foods</t>
  </si>
  <si>
    <t xml:space="preserve">Reseller agreement, Bexley Software</t>
  </si>
  <si>
    <t xml:space="preserve">M-1318</t>
  </si>
  <si>
    <t xml:space="preserve">Investigation, Fieldstone Partners matter</t>
  </si>
  <si>
    <t xml:space="preserve">L-1 transfer, Auburn Logistics</t>
  </si>
  <si>
    <t xml:space="preserve">M-1018</t>
  </si>
  <si>
    <t xml:space="preserve">H-1B petition, Estuary Bank</t>
  </si>
  <si>
    <t xml:space="preserve">M-1205</t>
  </si>
  <si>
    <t xml:space="preserve">Board consent, Cormorant Capital</t>
  </si>
  <si>
    <t xml:space="preserve">Northwind v. Halcyon Robotics</t>
  </si>
  <si>
    <t xml:space="preserve">M-1042</t>
  </si>
  <si>
    <t xml:space="preserve">MSA with Ridgeline Systems</t>
  </si>
  <si>
    <t xml:space="preserve">M-1013</t>
  </si>
  <si>
    <t xml:space="preserve">Green card, PERM, Calder Foods</t>
  </si>
  <si>
    <t xml:space="preserve">M-1005</t>
  </si>
  <si>
    <t xml:space="preserve">M-1321</t>
  </si>
  <si>
    <t xml:space="preserve">Annual filing, Perrin Aerospace</t>
  </si>
  <si>
    <t xml:space="preserve">M-1051</t>
  </si>
  <si>
    <t xml:space="preserve">Visa renewal, Halcyon Robotics</t>
  </si>
  <si>
    <t xml:space="preserve">M-1001</t>
  </si>
  <si>
    <t xml:space="preserve">Patent application, Ridgeline Systems</t>
  </si>
  <si>
    <t xml:space="preserve">Statement of work, Auburn Logistics</t>
  </si>
  <si>
    <t xml:space="preserve">M-1287</t>
  </si>
  <si>
    <t xml:space="preserve">Joint venture, Verity Payments</t>
  </si>
  <si>
    <t xml:space="preserve">Policy review, Bexley Software</t>
  </si>
  <si>
    <t xml:space="preserve">M-1274</t>
  </si>
  <si>
    <t xml:space="preserve">Vendor terms review, Silverbrook Labs</t>
  </si>
  <si>
    <t xml:space="preserve">M-1361</t>
  </si>
  <si>
    <t xml:space="preserve">Post-closing obligations, Gallant Foods</t>
  </si>
  <si>
    <t xml:space="preserve">M-1312</t>
  </si>
  <si>
    <t xml:space="preserve">Sable Chemicals v. Northwind</t>
  </si>
  <si>
    <t xml:space="preserve">Services agreement, Pinnacle Freight</t>
  </si>
  <si>
    <t xml:space="preserve">M-1200</t>
  </si>
  <si>
    <t xml:space="preserve">M-1280</t>
  </si>
  <si>
    <t xml:space="preserve">Joint venture, Harborlight Media</t>
  </si>
  <si>
    <t xml:space="preserve">Breach of contract, Fieldstone Partners</t>
  </si>
  <si>
    <t xml:space="preserve">Separation agreement, Pinnacle Freight</t>
  </si>
  <si>
    <t xml:space="preserve">M-1293</t>
  </si>
  <si>
    <t xml:space="preserve">DPA amendment, Nordhaven Group</t>
  </si>
  <si>
    <t xml:space="preserve">M-1146</t>
  </si>
  <si>
    <t xml:space="preserve">Northwind v. Quillon Devices</t>
  </si>
  <si>
    <t xml:space="preserve">Demand letter from Gallant Foods</t>
  </si>
  <si>
    <t xml:space="preserve">M-1021</t>
  </si>
  <si>
    <t xml:space="preserve">M-1327</t>
  </si>
  <si>
    <t xml:space="preserve">Board consent, Overton Energy</t>
  </si>
  <si>
    <t xml:space="preserve">M-1194</t>
  </si>
  <si>
    <t xml:space="preserve">NDA, Larkspur Health</t>
  </si>
  <si>
    <t xml:space="preserve">M-1283</t>
  </si>
  <si>
    <t xml:space="preserve">Wage and hour claim, Sable Chemicals</t>
  </si>
  <si>
    <t xml:space="preserve">M-1180</t>
  </si>
  <si>
    <t xml:space="preserve">Asset purchase, Perrin Aerospace</t>
  </si>
  <si>
    <t xml:space="preserve">M-1214</t>
  </si>
  <si>
    <t xml:space="preserve">Reseller agreement, Calder Foods</t>
  </si>
  <si>
    <t xml:space="preserve">M-1103</t>
  </si>
  <si>
    <t xml:space="preserve">Acquisition of Verity Payments</t>
  </si>
  <si>
    <t xml:space="preserve">M-1238</t>
  </si>
  <si>
    <t xml:space="preserve">MSA with Windward Insurance</t>
  </si>
  <si>
    <t xml:space="preserve">M-1258</t>
  </si>
  <si>
    <t xml:space="preserve">Investigation, Bexley Software matter</t>
  </si>
  <si>
    <t xml:space="preserve">M-1165</t>
  </si>
  <si>
    <t xml:space="preserve">Asset purchase, Halcyon Robotics</t>
  </si>
  <si>
    <t xml:space="preserve">M-1206</t>
  </si>
  <si>
    <t xml:space="preserve">Annual filing, Calder Foods</t>
  </si>
  <si>
    <t xml:space="preserve">M-1167</t>
  </si>
  <si>
    <t xml:space="preserve">Northwind v. Calder Foods</t>
  </si>
  <si>
    <t xml:space="preserve">Pre-suit or demand received</t>
  </si>
  <si>
    <t xml:space="preserve">M-1309</t>
  </si>
  <si>
    <t xml:space="preserve">Acquisition of Trenton Manufacturing</t>
  </si>
  <si>
    <t xml:space="preserve">M-1213</t>
  </si>
  <si>
    <t xml:space="preserve">M-1208</t>
  </si>
  <si>
    <t xml:space="preserve">M-1035</t>
  </si>
  <si>
    <t xml:space="preserve">M-1011</t>
  </si>
  <si>
    <t xml:space="preserve">M-1022</t>
  </si>
  <si>
    <t xml:space="preserve">M-1107</t>
  </si>
  <si>
    <t xml:space="preserve">Demand letter from Bexley Software</t>
  </si>
  <si>
    <t xml:space="preserve">M-1367</t>
  </si>
  <si>
    <t xml:space="preserve">L-1 transfer, Quillon Devices</t>
  </si>
  <si>
    <t xml:space="preserve">M-1228</t>
  </si>
  <si>
    <t xml:space="preserve">NDA, Marlow Textiles</t>
  </si>
  <si>
    <t xml:space="preserve">M-1045</t>
  </si>
  <si>
    <t xml:space="preserve">M-1313</t>
  </si>
  <si>
    <t xml:space="preserve">Entity dissolution, Larkspur Health</t>
  </si>
  <si>
    <t xml:space="preserve">M-1017</t>
  </si>
  <si>
    <t xml:space="preserve">M-1259</t>
  </si>
  <si>
    <t xml:space="preserve">MSA with Gallant Foods</t>
  </si>
  <si>
    <t xml:space="preserve">M-1303</t>
  </si>
  <si>
    <t xml:space="preserve">M-1308</t>
  </si>
  <si>
    <t xml:space="preserve">M-1093</t>
  </si>
  <si>
    <t xml:space="preserve">Separation agreement, Harborlight Media</t>
  </si>
  <si>
    <t xml:space="preserve">M-1295</t>
  </si>
  <si>
    <t xml:space="preserve">Asset purchase, Estuary Bank</t>
  </si>
  <si>
    <t xml:space="preserve">M-1032</t>
  </si>
  <si>
    <t xml:space="preserve">M-1108</t>
  </si>
  <si>
    <t xml:space="preserve">M-1296</t>
  </si>
  <si>
    <t xml:space="preserve">M-1081</t>
  </si>
  <si>
    <t xml:space="preserve">M-1328</t>
  </si>
  <si>
    <t xml:space="preserve">Annual filing, Pinnacle Freight</t>
  </si>
  <si>
    <t xml:space="preserve">M-1284</t>
  </si>
  <si>
    <t xml:space="preserve">Breach of contract, Sable Chemicals</t>
  </si>
  <si>
    <t xml:space="preserve">M-1179</t>
  </si>
  <si>
    <t xml:space="preserve">M-1253</t>
  </si>
  <si>
    <t xml:space="preserve">Separation agreement, Halcyon Robotics</t>
  </si>
  <si>
    <t xml:space="preserve">M-1181</t>
  </si>
  <si>
    <t xml:space="preserve">Reseller agreement, Windward Insurance</t>
  </si>
  <si>
    <t xml:space="preserve">M-1353</t>
  </si>
  <si>
    <t xml:space="preserve">Acquisition of Windward Insurance</t>
  </si>
  <si>
    <t xml:space="preserve">M-1356</t>
  </si>
  <si>
    <t xml:space="preserve">Breach of contract, Tallgrass Utilities</t>
  </si>
  <si>
    <t xml:space="preserve">M-1252</t>
  </si>
  <si>
    <t xml:space="preserve">Breach of contract, Ashgrove Retail</t>
  </si>
  <si>
    <t xml:space="preserve">M-1101</t>
  </si>
  <si>
    <t xml:space="preserve">M-1120</t>
  </si>
  <si>
    <t xml:space="preserve">DPA amendment, Marlow Textiles</t>
  </si>
  <si>
    <t xml:space="preserve">M-1302</t>
  </si>
  <si>
    <t xml:space="preserve">Vendor terms review, Ridgeline Systems</t>
  </si>
  <si>
    <t xml:space="preserve">M-1260</t>
  </si>
  <si>
    <t xml:space="preserve">Northwind v. Trenton Manufacturing</t>
  </si>
  <si>
    <t xml:space="preserve">M-1306</t>
  </si>
  <si>
    <t xml:space="preserve">Acquisition of Harborlight Media</t>
  </si>
  <si>
    <t xml:space="preserve">M-1105</t>
  </si>
  <si>
    <t xml:space="preserve">M-1235</t>
  </si>
  <si>
    <t xml:space="preserve">Asset purchase, Silverbrook Labs</t>
  </si>
  <si>
    <t xml:space="preserve">M-1057</t>
  </si>
  <si>
    <t xml:space="preserve">Patent application, Trenton Manufacturing</t>
  </si>
  <si>
    <t xml:space="preserve">Filed, awaiting examination or an office action</t>
  </si>
  <si>
    <t xml:space="preserve">M-1034</t>
  </si>
  <si>
    <t xml:space="preserve">Patent maintenance, Windward Insurance</t>
  </si>
  <si>
    <t xml:space="preserve">M-1036</t>
  </si>
  <si>
    <t xml:space="preserve">Acquisition of Overton Energy</t>
  </si>
  <si>
    <t xml:space="preserve">M-1220</t>
  </si>
  <si>
    <t xml:space="preserve">Investigation, Overton Energy matter</t>
  </si>
  <si>
    <t xml:space="preserve">M-1169</t>
  </si>
  <si>
    <t xml:space="preserve">Investigation, Cormorant Capital matter</t>
  </si>
  <si>
    <t xml:space="preserve">M-1390</t>
  </si>
  <si>
    <t xml:space="preserve">Accommodation request, Fieldstone Partners</t>
  </si>
  <si>
    <t xml:space="preserve">M-1115</t>
  </si>
  <si>
    <t xml:space="preserve">M-1286</t>
  </si>
  <si>
    <t xml:space="preserve">Larkspur Health v. Northwind</t>
  </si>
  <si>
    <t xml:space="preserve">M-1369</t>
  </si>
  <si>
    <t xml:space="preserve">H-1B petition, Halcyon Robotics</t>
  </si>
  <si>
    <t xml:space="preserve">M-1104</t>
  </si>
  <si>
    <t xml:space="preserve">M-1209</t>
  </si>
  <si>
    <t xml:space="preserve">Board consent, Fieldstone Partners</t>
  </si>
  <si>
    <t xml:space="preserve">M-1183</t>
  </si>
  <si>
    <t xml:space="preserve">Asset purchase, Sable Chemicals</t>
  </si>
  <si>
    <t xml:space="preserve">M-1029</t>
  </si>
  <si>
    <t xml:space="preserve">Board consent, Bexley Software</t>
  </si>
  <si>
    <t xml:space="preserve">M-1256</t>
  </si>
  <si>
    <t xml:space="preserve">M-1364</t>
  </si>
  <si>
    <t xml:space="preserve">M-1059</t>
  </si>
  <si>
    <t xml:space="preserve">Annual filing, Halcyon Robotics</t>
  </si>
  <si>
    <t xml:space="preserve">M-1012</t>
  </si>
  <si>
    <t xml:space="preserve">M-1141</t>
  </si>
  <si>
    <t xml:space="preserve">Breach of contract, Marlow Textiles</t>
  </si>
  <si>
    <t xml:space="preserve">M-1305</t>
  </si>
  <si>
    <t xml:space="preserve">M-1192</t>
  </si>
  <si>
    <t xml:space="preserve">M-1071</t>
  </si>
  <si>
    <t xml:space="preserve">Visa renewal, Sable Chemicals</t>
  </si>
  <si>
    <t xml:space="preserve">M-1197</t>
  </si>
  <si>
    <t xml:space="preserve">Demand letter from Trenton Manufacturing</t>
  </si>
  <si>
    <t xml:space="preserve">M-1298</t>
  </si>
  <si>
    <t xml:space="preserve">Acquisition of Tallgrass Utilities</t>
  </si>
  <si>
    <t xml:space="preserve">M-1113</t>
  </si>
  <si>
    <t xml:space="preserve">Accommodation request, Gallant Foods</t>
  </si>
  <si>
    <t xml:space="preserve">M-1127</t>
  </si>
  <si>
    <t xml:space="preserve">Accommodation request, Cormorant Capital</t>
  </si>
  <si>
    <t xml:space="preserve">M-1166</t>
  </si>
  <si>
    <t xml:space="preserve">Vendor terms review, Auburn Logistics</t>
  </si>
  <si>
    <t xml:space="preserve">M-1297</t>
  </si>
  <si>
    <t xml:space="preserve">Vendor terms review, Marlow Textiles</t>
  </si>
  <si>
    <t xml:space="preserve">M-1118</t>
  </si>
  <si>
    <t xml:space="preserve">Wage and hour claim, Harborlight Media</t>
  </si>
  <si>
    <t xml:space="preserve">M-1038</t>
  </si>
  <si>
    <t xml:space="preserve">Trademark, Nordhaven Group</t>
  </si>
  <si>
    <t xml:space="preserve">M-1142</t>
  </si>
  <si>
    <t xml:space="preserve">M-1314</t>
  </si>
  <si>
    <t xml:space="preserve">Entity formation, Marlow Textiles</t>
  </si>
  <si>
    <t xml:space="preserve">M-1058</t>
  </si>
  <si>
    <t xml:space="preserve">Trademark opposition, Trenton Manufacturing</t>
  </si>
  <si>
    <t xml:space="preserve">M-1144</t>
  </si>
  <si>
    <t xml:space="preserve">H-1B petition, Calder Foods</t>
  </si>
  <si>
    <t xml:space="preserve">M-1270</t>
  </si>
  <si>
    <t xml:space="preserve">L-1 transfer, Overton Energy</t>
  </si>
  <si>
    <t xml:space="preserve">M-1338</t>
  </si>
  <si>
    <t xml:space="preserve">Breach of contract, Vantage Analytics</t>
  </si>
  <si>
    <t xml:space="preserve">M-1193</t>
  </si>
  <si>
    <t xml:space="preserve">M-1290</t>
  </si>
  <si>
    <t xml:space="preserve">Joint venture, Calder Foods</t>
  </si>
  <si>
    <t xml:space="preserve">M-1255</t>
  </si>
  <si>
    <t xml:space="preserve">Asset purchase, Tallgrass Utilities</t>
  </si>
  <si>
    <t xml:space="preserve">M-1377</t>
  </si>
  <si>
    <t xml:space="preserve">Entity dissolution, Bexley Software</t>
  </si>
  <si>
    <t xml:space="preserve">M-1173</t>
  </si>
  <si>
    <t xml:space="preserve">M-1387</t>
  </si>
  <si>
    <t xml:space="preserve">M-1245</t>
  </si>
  <si>
    <t xml:space="preserve">Visa renewal, Marlow Textiles</t>
  </si>
  <si>
    <t xml:space="preserve">M-1066</t>
  </si>
  <si>
    <t xml:space="preserve">MSA with Auburn Logistics</t>
  </si>
  <si>
    <t xml:space="preserve">M-1265</t>
  </si>
  <si>
    <t xml:space="preserve">M-1278</t>
  </si>
  <si>
    <t xml:space="preserve">Services agreement, Halcyon Robotics</t>
  </si>
  <si>
    <t xml:space="preserve">M-1070</t>
  </si>
  <si>
    <t xml:space="preserve">Reseller agreement, Vantage Analytics</t>
  </si>
  <si>
    <t xml:space="preserve">M-1054</t>
  </si>
  <si>
    <t xml:space="preserve">H-1B petition, Larkspur Health</t>
  </si>
  <si>
    <t xml:space="preserve">M-1189</t>
  </si>
  <si>
    <t xml:space="preserve">Ridgeline Systems v. Northwind</t>
  </si>
  <si>
    <t xml:space="preserve">M-1072</t>
  </si>
  <si>
    <t xml:space="preserve">Accommodation request, Tallgrass Utilities</t>
  </si>
  <si>
    <t xml:space="preserve">M-1382</t>
  </si>
  <si>
    <t xml:space="preserve">Board consent, Silverbrook Labs</t>
  </si>
  <si>
    <t xml:space="preserve">M-1384</t>
  </si>
  <si>
    <t xml:space="preserve">M-1076</t>
  </si>
  <si>
    <t xml:space="preserve">H-1B petition, Auburn Logistics</t>
  </si>
  <si>
    <t xml:space="preserve">M-1125</t>
  </si>
  <si>
    <t xml:space="preserve">Statement of work, Sable Chemicals</t>
  </si>
  <si>
    <t xml:space="preserve">M-1087</t>
  </si>
  <si>
    <t xml:space="preserve">M-1346</t>
  </si>
  <si>
    <t xml:space="preserve">H-1B petition, Silverbrook Labs</t>
  </si>
  <si>
    <t xml:space="preserve">M-1271</t>
  </si>
  <si>
    <t xml:space="preserve">Vendor terms review, Calder Foods</t>
  </si>
  <si>
    <t xml:space="preserve">M-1277</t>
  </si>
  <si>
    <t xml:space="preserve">DPA amendment, Auburn Logistics</t>
  </si>
  <si>
    <t xml:space="preserve">M-1156</t>
  </si>
  <si>
    <t xml:space="preserve">Investigation, Estuary Bank matter</t>
  </si>
  <si>
    <t xml:space="preserve">M-1074</t>
  </si>
  <si>
    <t xml:space="preserve">M-1145</t>
  </si>
  <si>
    <t xml:space="preserve">Separation agreement, Trenton Manufacturing</t>
  </si>
  <si>
    <t xml:space="preserve">M-1182</t>
  </si>
  <si>
    <t xml:space="preserve">Demand letter from Marlow Textiles</t>
  </si>
  <si>
    <t xml:space="preserve">M-1202</t>
  </si>
  <si>
    <t xml:space="preserve">Visa renewal, Perrin Aerospace</t>
  </si>
  <si>
    <t xml:space="preserve">M-1291</t>
  </si>
  <si>
    <t xml:space="preserve">M-1033</t>
  </si>
  <si>
    <t xml:space="preserve">Entity dissolution, Windward Insurance</t>
  </si>
  <si>
    <t xml:space="preserve">M-1231</t>
  </si>
  <si>
    <t xml:space="preserve">Annual filing, Ridgeline Systems</t>
  </si>
  <si>
    <t xml:space="preserve">M-1282</t>
  </si>
  <si>
    <t xml:space="preserve">M-1263</t>
  </si>
  <si>
    <t xml:space="preserve">M-1010</t>
  </si>
  <si>
    <t xml:space="preserve">Green card, PERM, Tallgrass Utilities</t>
  </si>
  <si>
    <t xml:space="preserve">M-1083</t>
  </si>
  <si>
    <t xml:space="preserve">Joint venture, Auburn Logistics</t>
  </si>
  <si>
    <t xml:space="preserve">M-1091</t>
  </si>
  <si>
    <t xml:space="preserve">M-1199</t>
  </si>
  <si>
    <t xml:space="preserve">Demand letter from Pinnacle Freight</t>
  </si>
  <si>
    <t xml:space="preserve">M-1157</t>
  </si>
  <si>
    <t xml:space="preserve">Policy review, Cormorant Capital</t>
  </si>
  <si>
    <t xml:space="preserve">M-1379</t>
  </si>
  <si>
    <t xml:space="preserve">M-1337</t>
  </si>
  <si>
    <t xml:space="preserve">Vendor terms review, Sable Chemicals</t>
  </si>
  <si>
    <t xml:space="preserve">M-1229</t>
  </si>
  <si>
    <t xml:space="preserve">DPA amendment, Gallant Foods</t>
  </si>
  <si>
    <t xml:space="preserve">M-1008</t>
  </si>
  <si>
    <t xml:space="preserve">Green card, PERM, Trenton Manufacturing</t>
  </si>
  <si>
    <t xml:space="preserve">M-1285</t>
  </si>
  <si>
    <t xml:space="preserve">M-1049</t>
  </si>
  <si>
    <t xml:space="preserve">H-1B petition, Nordhaven Group</t>
  </si>
  <si>
    <t xml:space="preserve">M-1372</t>
  </si>
  <si>
    <t xml:space="preserve">Separation agreement, Fieldstone Partners</t>
  </si>
  <si>
    <t xml:space="preserve">M-1320</t>
  </si>
  <si>
    <t xml:space="preserve">M-1251</t>
  </si>
  <si>
    <t xml:space="preserve">Breach of contract, Harborlight Media</t>
  </si>
  <si>
    <t xml:space="preserve">M-1023</t>
  </si>
  <si>
    <t xml:space="preserve">M-1325</t>
  </si>
  <si>
    <t xml:space="preserve">Separation agreement, Vantage Analytics</t>
  </si>
  <si>
    <t xml:space="preserve">M-1342</t>
  </si>
  <si>
    <t xml:space="preserve">Reseller agreement, Trenton Manufacturing</t>
  </si>
  <si>
    <t xml:space="preserve">M-1212</t>
  </si>
  <si>
    <t xml:space="preserve">Annual filing, Fieldstone Partners</t>
  </si>
  <si>
    <t xml:space="preserve">M-1276</t>
  </si>
  <si>
    <t xml:space="preserve">M-1100</t>
  </si>
  <si>
    <t xml:space="preserve">Joint venture, Tallgrass Utilities</t>
  </si>
  <si>
    <t xml:space="preserve">M-1055</t>
  </si>
  <si>
    <t xml:space="preserve">NDA, Silverbrook Labs</t>
  </si>
  <si>
    <t xml:space="preserve">M-1322</t>
  </si>
  <si>
    <t xml:space="preserve">Entity formation, Larkspur Health</t>
  </si>
  <si>
    <t xml:space="preserve">M-1148</t>
  </si>
  <si>
    <t xml:space="preserve">Asset purchase, Verity Payments</t>
  </si>
  <si>
    <t xml:space="preserve">M-1219</t>
  </si>
  <si>
    <t xml:space="preserve">NDA, Nordhaven Group</t>
  </si>
  <si>
    <t xml:space="preserve">M-1163</t>
  </si>
  <si>
    <t xml:space="preserve">Post-closing obligations, Perrin Aerospace</t>
  </si>
  <si>
    <t xml:space="preserve">M-1031</t>
  </si>
  <si>
    <t xml:space="preserve">Entity dissolution, Marlow Textiles</t>
  </si>
  <si>
    <t xml:space="preserve">M-1159</t>
  </si>
  <si>
    <t xml:space="preserve">Post-closing obligations, Nordhaven Group</t>
  </si>
  <si>
    <t xml:space="preserve">Opportunity logged, not yet worked</t>
  </si>
  <si>
    <t xml:space="preserve">M-1230</t>
  </si>
  <si>
    <t xml:space="preserve">Annual filing, Overton Energy</t>
  </si>
  <si>
    <t xml:space="preserve">M-1380</t>
  </si>
  <si>
    <t xml:space="preserve">M-1119</t>
  </si>
  <si>
    <t xml:space="preserve">Policy review, Ridgeline Systems</t>
  </si>
  <si>
    <t xml:space="preserve">M-1195</t>
  </si>
  <si>
    <t xml:space="preserve">M-1149</t>
  </si>
  <si>
    <t xml:space="preserve">M-1172</t>
  </si>
  <si>
    <t xml:space="preserve">Post-closing obligations, Marlow Textiles</t>
  </si>
  <si>
    <t xml:space="preserve">M-1046</t>
  </si>
  <si>
    <t xml:space="preserve">M-1211</t>
  </si>
  <si>
    <t xml:space="preserve">Statement of work, Verity Payments</t>
  </si>
  <si>
    <t xml:space="preserve">M-1300</t>
  </si>
  <si>
    <t xml:space="preserve">Trenton Manufacturing v. Northwind</t>
  </si>
  <si>
    <t xml:space="preserve">M-1050</t>
  </si>
  <si>
    <t xml:space="preserve">Office action response, Larkspur Health</t>
  </si>
  <si>
    <t xml:space="preserve">A filing or response being prepared</t>
  </si>
  <si>
    <t xml:space="preserve">M-1161</t>
  </si>
  <si>
    <t xml:space="preserve">M-1003</t>
  </si>
  <si>
    <t xml:space="preserve">Entity dissolution, Harborlight Media</t>
  </si>
  <si>
    <t xml:space="preserve">M-1233</t>
  </si>
  <si>
    <t xml:space="preserve">Policy review, Pinnacle Freight</t>
  </si>
  <si>
    <t xml:space="preserve">M-1154</t>
  </si>
  <si>
    <t xml:space="preserve">M-1079</t>
  </si>
  <si>
    <t xml:space="preserve">M-1174</t>
  </si>
  <si>
    <t xml:space="preserve">Green card, PERM, Ashgrove Retail</t>
  </si>
  <si>
    <t xml:space="preserve">M-1086</t>
  </si>
  <si>
    <t xml:space="preserve">Demand letter from Larkspur Health</t>
  </si>
  <si>
    <t xml:space="preserve">M-1014</t>
  </si>
  <si>
    <t xml:space="preserve">M-1272</t>
  </si>
  <si>
    <t xml:space="preserve">M-1134</t>
  </si>
  <si>
    <t xml:space="preserve">L-1 transfer, Estuary Bank</t>
  </si>
  <si>
    <t xml:space="preserve">M-1348</t>
  </si>
  <si>
    <t xml:space="preserve">Visa renewal, Estuary Bank</t>
  </si>
  <si>
    <t xml:space="preserve">M-1124</t>
  </si>
  <si>
    <t xml:space="preserve">NDA, Sable Chemicals</t>
  </si>
  <si>
    <t xml:space="preserve">M-1098</t>
  </si>
  <si>
    <t xml:space="preserve">Visa renewal, Nordhaven Group</t>
  </si>
  <si>
    <t xml:space="preserve">M-1354</t>
  </si>
  <si>
    <t xml:space="preserve">M-1249</t>
  </si>
  <si>
    <t xml:space="preserve">SaaS renewal, Fieldstone Partners</t>
  </si>
  <si>
    <t xml:space="preserve">M-1184</t>
  </si>
  <si>
    <t xml:space="preserve">Northwind v. Cormorant Capital</t>
  </si>
  <si>
    <t xml:space="preserve">M-1099</t>
  </si>
  <si>
    <t xml:space="preserve">M-1020</t>
  </si>
  <si>
    <t xml:space="preserve">Every native status your systems use, mapped to one of the five standard statuses. Build it once, update it only when a new native status appears, and keep the audit trail so you can prove which mapping was in force in any period.</t>
  </si>
  <si>
    <t xml:space="preserve">Feeds: Every line that needs one language</t>
  </si>
  <si>
    <t xml:space="preserve">Map ID</t>
  </si>
  <si>
    <t xml:space="preserve">Native status (your system's dialect)</t>
  </si>
  <si>
    <t xml:space="preserve">What it means, and any flag</t>
  </si>
  <si>
    <t xml:space="preserve">Effective from</t>
  </si>
  <si>
    <t xml:space="preserve">Last reviewed</t>
  </si>
  <si>
    <t xml:space="preserve">Reviewed by</t>
  </si>
  <si>
    <t xml:space="preserve">Lookup key</t>
  </si>
  <si>
    <t xml:space="preserve">Matters using this mapping</t>
  </si>
  <si>
    <t xml:space="preserve">Example matter</t>
  </si>
  <si>
    <t xml:space="preserve">SM-001</t>
  </si>
  <si>
    <t xml:space="preserve">Docketed, not yet filed</t>
  </si>
  <si>
    <t xml:space="preserve">Intake</t>
  </si>
  <si>
    <t xml:space="preserve">In the queue, work not started</t>
  </si>
  <si>
    <t xml:space="preserve">Legal ops</t>
  </si>
  <si>
    <t xml:space="preserve">SM-002</t>
  </si>
  <si>
    <t xml:space="preserve">Active</t>
  </si>
  <si>
    <t xml:space="preserve">Our team is moving it now</t>
  </si>
  <si>
    <t xml:space="preserve">SM-003</t>
  </si>
  <si>
    <t xml:space="preserve">Waiting</t>
  </si>
  <si>
    <t xml:space="preserve">The ball is with the patent or trademark office</t>
  </si>
  <si>
    <t xml:space="preserve">SM-004</t>
  </si>
  <si>
    <t xml:space="preserve">Allowed, awaiting issue or registration</t>
  </si>
  <si>
    <t xml:space="preserve">Waiting on the office, not on us</t>
  </si>
  <si>
    <t xml:space="preserve">SM-005</t>
  </si>
  <si>
    <t xml:space="preserve">Dormant</t>
  </si>
  <si>
    <t xml:space="preserve">Open by design, resting between renewal deadlines. Never read as stuck</t>
  </si>
  <si>
    <t xml:space="preserve">SM-006</t>
  </si>
  <si>
    <t xml:space="preserve">Abandoned, lapsed, or expired</t>
  </si>
  <si>
    <t xml:space="preserve">Off the active list</t>
  </si>
  <si>
    <t xml:space="preserve">SM-007</t>
  </si>
  <si>
    <t xml:space="preserve">Arrived, not yet worked</t>
  </si>
  <si>
    <t xml:space="preserve">SM-008</t>
  </si>
  <si>
    <t xml:space="preserve">SM-009</t>
  </si>
  <si>
    <t xml:space="preserve">The ball is with the court or opposing counsel</t>
  </si>
  <si>
    <t xml:space="preserve">SM-010</t>
  </si>
  <si>
    <t xml:space="preserve">A short stay is waiting, not stalled</t>
  </si>
  <si>
    <t xml:space="preserve">SM-011</t>
  </si>
  <si>
    <t xml:space="preserve">Stayed or on a long hold</t>
  </si>
  <si>
    <t xml:space="preserve">A multi-year stay goes Dormant so it does not read as stuck</t>
  </si>
  <si>
    <t xml:space="preserve">SM-012</t>
  </si>
  <si>
    <t xml:space="preserve">SM-013</t>
  </si>
  <si>
    <t xml:space="preserve">In the intake queue</t>
  </si>
  <si>
    <t xml:space="preserve">SM-014</t>
  </si>
  <si>
    <t xml:space="preserve">SM-015</t>
  </si>
  <si>
    <t xml:space="preserve">The ball is on someone else's desk</t>
  </si>
  <si>
    <t xml:space="preserve">SM-016</t>
  </si>
  <si>
    <t xml:space="preserve">The drafting matter is done. The renewal or termination date becomes a critical-date record</t>
  </si>
  <si>
    <t xml:space="preserve">SM-017</t>
  </si>
  <si>
    <t xml:space="preserve">The obligation lives on with a date; it is not an open matter that stalled</t>
  </si>
  <si>
    <t xml:space="preserve">SM-018</t>
  </si>
  <si>
    <t xml:space="preserve">SM-019</t>
  </si>
  <si>
    <t xml:space="preserve">SM-020</t>
  </si>
  <si>
    <t xml:space="preserve">SM-021</t>
  </si>
  <si>
    <t xml:space="preserve">SM-022</t>
  </si>
  <si>
    <t xml:space="preserve">SM-023</t>
  </si>
  <si>
    <t xml:space="preserve">SM-024</t>
  </si>
  <si>
    <t xml:space="preserve">SM-025</t>
  </si>
  <si>
    <t xml:space="preserve">The ball is with the government</t>
  </si>
  <si>
    <t xml:space="preserve">SM-026</t>
  </si>
  <si>
    <t xml:space="preserve">Standing status; the renewal before it lapses is a critical date, not a stall</t>
  </si>
  <si>
    <t xml:space="preserve">SM-027</t>
  </si>
  <si>
    <t xml:space="preserve">SM-028</t>
  </si>
  <si>
    <t xml:space="preserve">SM-029</t>
  </si>
  <si>
    <t xml:space="preserve">SM-030</t>
  </si>
  <si>
    <t xml:space="preserve">SM-031</t>
  </si>
  <si>
    <t xml:space="preserve">The ball is with a regulator or the other side</t>
  </si>
  <si>
    <t xml:space="preserve">SM-032</t>
  </si>
  <si>
    <t xml:space="preserve">The deal matter is done. Post-closing and integration dates become critical-date records</t>
  </si>
  <si>
    <t xml:space="preserve">SM-033</t>
  </si>
  <si>
    <t xml:space="preserve">Open by design until the obligations run out; not a stalled deal</t>
  </si>
  <si>
    <t xml:space="preserve">SM-034</t>
  </si>
  <si>
    <t xml:space="preserve">SM-035</t>
  </si>
  <si>
    <t xml:space="preserve">A project inside the portfolio; our team is moving it now</t>
  </si>
  <si>
    <t xml:space="preserve">SM-036</t>
  </si>
  <si>
    <t xml:space="preserve">The ball is with the state or registry</t>
  </si>
  <si>
    <t xml:space="preserve">SM-037</t>
  </si>
  <si>
    <t xml:space="preserve">Open by design. Its annual filing and renewal dates are the critical dates to watch</t>
  </si>
  <si>
    <t xml:space="preserve">SM-038</t>
  </si>
  <si>
    <t xml:space="preserve">One row per date, not per matter. A matter can carry several. A date with no owner is the gap this line exists to find.</t>
  </si>
  <si>
    <t xml:space="preserve">Feeds: Critical-date coverage</t>
  </si>
  <si>
    <t xml:space="preserve">Date ID</t>
  </si>
  <si>
    <t xml:space="preserve">Date type</t>
  </si>
  <si>
    <t xml:space="preserve">Due date</t>
  </si>
  <si>
    <t xml:space="preserve">Condition</t>
  </si>
  <si>
    <t xml:space="preserve">Source system</t>
  </si>
  <si>
    <t xml:space="preserve">Days to due</t>
  </si>
  <si>
    <t xml:space="preserve">Owned?</t>
  </si>
  <si>
    <t xml:space="preserve">D-135</t>
  </si>
  <si>
    <t xml:space="preserve">Renewal</t>
  </si>
  <si>
    <t xml:space="preserve">On track</t>
  </si>
  <si>
    <t xml:space="preserve">Contract system (CLM)</t>
  </si>
  <si>
    <t xml:space="preserve">D-120</t>
  </si>
  <si>
    <t xml:space="preserve">Response due</t>
  </si>
  <si>
    <t xml:space="preserve">At risk</t>
  </si>
  <si>
    <t xml:space="preserve">IP docketing</t>
  </si>
  <si>
    <t xml:space="preserve">D-144</t>
  </si>
  <si>
    <t xml:space="preserve">Maintenance fee</t>
  </si>
  <si>
    <t xml:space="preserve">D-106</t>
  </si>
  <si>
    <t xml:space="preserve">D-142</t>
  </si>
  <si>
    <t xml:space="preserve">D-132</t>
  </si>
  <si>
    <t xml:space="preserve">Termination notice window</t>
  </si>
  <si>
    <t xml:space="preserve">D-141</t>
  </si>
  <si>
    <t xml:space="preserve">Filing deadline</t>
  </si>
  <si>
    <t xml:space="preserve">D-118</t>
  </si>
  <si>
    <t xml:space="preserve">D-119</t>
  </si>
  <si>
    <t xml:space="preserve">D-116</t>
  </si>
  <si>
    <t xml:space="preserve">D-138</t>
  </si>
  <si>
    <t xml:space="preserve">Regulatory filing</t>
  </si>
  <si>
    <t xml:space="preserve">Entity calendar</t>
  </si>
  <si>
    <t xml:space="preserve">D-121</t>
  </si>
  <si>
    <t xml:space="preserve">Hearing</t>
  </si>
  <si>
    <t xml:space="preserve">Court docket</t>
  </si>
  <si>
    <t xml:space="preserve">D-124</t>
  </si>
  <si>
    <t xml:space="preserve">D-113</t>
  </si>
  <si>
    <t xml:space="preserve">D-123</t>
  </si>
  <si>
    <t xml:space="preserve">Post-closing obligation</t>
  </si>
  <si>
    <t xml:space="preserve">Deal checklist</t>
  </si>
  <si>
    <t xml:space="preserve">D-114</t>
  </si>
  <si>
    <t xml:space="preserve">D-107</t>
  </si>
  <si>
    <t xml:space="preserve">D-126</t>
  </si>
  <si>
    <t xml:space="preserve">D-109</t>
  </si>
  <si>
    <t xml:space="preserve">D-146</t>
  </si>
  <si>
    <t xml:space="preserve">D-128</t>
  </si>
  <si>
    <t xml:space="preserve">D-103</t>
  </si>
  <si>
    <t xml:space="preserve">D-145</t>
  </si>
  <si>
    <t xml:space="preserve">D-105</t>
  </si>
  <si>
    <t xml:space="preserve">D-104</t>
  </si>
  <si>
    <t xml:space="preserve">D-117</t>
  </si>
  <si>
    <t xml:space="preserve">D-112</t>
  </si>
  <si>
    <t xml:space="preserve">D-125</t>
  </si>
  <si>
    <t xml:space="preserve">D-139</t>
  </si>
  <si>
    <t xml:space="preserve">D-127</t>
  </si>
  <si>
    <t xml:space="preserve">D-130</t>
  </si>
  <si>
    <t xml:space="preserve">D-148</t>
  </si>
  <si>
    <t xml:space="preserve">D-134</t>
  </si>
  <si>
    <t xml:space="preserve">D-102</t>
  </si>
  <si>
    <t xml:space="preserve">D-115</t>
  </si>
  <si>
    <t xml:space="preserve">D-137</t>
  </si>
  <si>
    <t xml:space="preserve">D-131</t>
  </si>
  <si>
    <t xml:space="preserve">D-129</t>
  </si>
  <si>
    <t xml:space="preserve">D-147</t>
  </si>
  <si>
    <t xml:space="preserve">D-111</t>
  </si>
  <si>
    <t xml:space="preserve">D-143</t>
  </si>
  <si>
    <t xml:space="preserve">D-101</t>
  </si>
  <si>
    <t xml:space="preserve">D-108</t>
  </si>
  <si>
    <t xml:space="preserve">D-133</t>
  </si>
  <si>
    <t xml:space="preserve">D-140</t>
  </si>
  <si>
    <t xml:space="preserve">D-136</t>
  </si>
  <si>
    <t xml:space="preserve">D-122</t>
  </si>
  <si>
    <t xml:space="preserve">Outside counsel spend per matter, and the department budget phased across the year. Accruals are the hardest input on this line: get them from your firms, not from a guess.</t>
  </si>
  <si>
    <t xml:space="preserve">Feeds: Outside counsel spend vs budget, with forecast</t>
  </si>
  <si>
    <t xml:space="preserve">DEPARTMENT BUDGET, PHASED</t>
  </si>
  <si>
    <t xml:space="preserve">Firm</t>
  </si>
  <si>
    <t xml:space="preserve">Invoiced to date</t>
  </si>
  <si>
    <t xml:space="preserve">Accrual (submitted by firm)</t>
  </si>
  <si>
    <t xml:space="preserve">Total</t>
  </si>
  <si>
    <t xml:space="preserve">Accrual submitted?</t>
  </si>
  <si>
    <t xml:space="preserve">Month</t>
  </si>
  <si>
    <t xml:space="preserve">Budget</t>
  </si>
  <si>
    <t xml:space="preserve">Brannagh Trial Group</t>
  </si>
  <si>
    <t xml:space="preserve">Jan 2026</t>
  </si>
  <si>
    <t xml:space="preserve">Delacroix Employment Law</t>
  </si>
  <si>
    <t xml:space="preserve">Feb 2026</t>
  </si>
  <si>
    <t xml:space="preserve">Mar 2026</t>
  </si>
  <si>
    <t xml:space="preserve">Apr 2026</t>
  </si>
  <si>
    <t xml:space="preserve">Halstead Corporate</t>
  </si>
  <si>
    <t xml:space="preserve">May 2026</t>
  </si>
  <si>
    <t xml:space="preserve">Jun 2026</t>
  </si>
  <si>
    <t xml:space="preserve">Jul 2026</t>
  </si>
  <si>
    <t xml:space="preserve">Aug 2026</t>
  </si>
  <si>
    <t xml:space="preserve">Sep 2026</t>
  </si>
  <si>
    <t xml:space="preserve">Fitzgerald &amp; Hale</t>
  </si>
  <si>
    <t xml:space="preserve">Oct 2026</t>
  </si>
  <si>
    <t xml:space="preserve">Nov 2026</t>
  </si>
  <si>
    <t xml:space="preserve">Dec 2026</t>
  </si>
  <si>
    <t xml:space="preserve">Kovac IP</t>
  </si>
  <si>
    <t xml:space="preserve">Budget for the year</t>
  </si>
  <si>
    <t xml:space="preserve">The department outside-counsel budget, not per-matter budgets.</t>
  </si>
  <si>
    <t xml:space="preserve">Pike Immigration</t>
  </si>
  <si>
    <t xml:space="preserve">Known future work not yet invoiced or accrued</t>
  </si>
  <si>
    <t xml:space="preserve">Type this in. Work you know is coming: a trial, a deal, a known project.</t>
  </si>
  <si>
    <t xml:space="preserve">Sutter Commercial LLP</t>
  </si>
  <si>
    <t xml:space="preserve">Who is in-house, and how much each lawyer is carrying. The in-house count is the denominator for load per lawyer.</t>
  </si>
  <si>
    <t xml:space="preserve">Feeds: Load per lawyer</t>
  </si>
  <si>
    <t xml:space="preserve">Lawyer</t>
  </si>
  <si>
    <t xml:space="preserve">Role</t>
  </si>
  <si>
    <t xml:space="preserve">In-house?</t>
  </si>
  <si>
    <t xml:space="preserve">Practice focus</t>
  </si>
  <si>
    <t xml:space="preserve">Matters carried (calculated)</t>
  </si>
  <si>
    <t xml:space="preserve">General Counsel</t>
  </si>
  <si>
    <t xml:space="preserve">Corporate, M&amp;A</t>
  </si>
  <si>
    <t xml:space="preserve">Deputy GC, Commercial</t>
  </si>
  <si>
    <t xml:space="preserve">Senior Counsel, Litigation</t>
  </si>
  <si>
    <t xml:space="preserve">Senior Counsel, IP</t>
  </si>
  <si>
    <t xml:space="preserve">IP</t>
  </si>
  <si>
    <t xml:space="preserve">Counsel, Employment</t>
  </si>
  <si>
    <t xml:space="preserve">Counsel, Commercial</t>
  </si>
  <si>
    <t xml:space="preserve">Counsel, Corporate</t>
  </si>
  <si>
    <t xml:space="preserve">Corporate, immigration</t>
  </si>
  <si>
    <t xml:space="preserve">Contracts, procurement</t>
  </si>
  <si>
    <t xml:space="preserve">Outside counsel, litigation</t>
  </si>
  <si>
    <t xml:space="preserve">Outside counsel, IP prosecution</t>
  </si>
  <si>
    <t xml:space="preserve">Outside counsel, immigration</t>
  </si>
  <si>
    <t xml:space="preserve">Immigration</t>
  </si>
  <si>
    <t xml:space="preserve">Not a feed. A reconciliation you run each period: count the traces of legal work that happened without legal, and report the direction, not a decimal.</t>
  </si>
  <si>
    <t xml:space="preserve">Feeds: Shadow demand</t>
  </si>
  <si>
    <t xml:space="preserve">Trace type</t>
  </si>
  <si>
    <t xml:space="preserve">Source</t>
  </si>
  <si>
    <t xml:space="preserve">How you find it</t>
  </si>
  <si>
    <t xml:space="preserve">Count this period</t>
  </si>
  <si>
    <t xml:space="preserve">Count prior period</t>
  </si>
  <si>
    <t xml:space="preserve">Contract executed with no matching legal matter</t>
  </si>
  <si>
    <t xml:space="preserve">Contract system (CLM) export</t>
  </si>
  <si>
    <t xml:space="preserve">Export executed agreements, match on counterparty against the matter list</t>
  </si>
  <si>
    <t xml:space="preserve">Four are software renewals signed inside Engineering.</t>
  </si>
  <si>
    <t xml:space="preserve">Purchase over threshold with no legal touch</t>
  </si>
  <si>
    <t xml:space="preserve">Purchasing / AP export</t>
  </si>
  <si>
    <t xml:space="preserve">Purchases over $50k with no matching request or matter</t>
  </si>
  <si>
    <t xml:space="preserve">All four in Marketing. Same team as last period.</t>
  </si>
  <si>
    <t xml:space="preserve">Vendor or tool in use with terms never reviewed</t>
  </si>
  <si>
    <t xml:space="preserve">IT software inventory</t>
  </si>
  <si>
    <t xml:space="preserve">Compare the tool inventory to reviewed-terms list</t>
  </si>
  <si>
    <t xml:space="preserve">Two are AI tools. Worth a conversation.</t>
  </si>
  <si>
    <t xml:space="preserve">Business unit resolved it themselves</t>
  </si>
  <si>
    <t xml:space="preserve">Quarterly business pulse</t>
  </si>
  <si>
    <t xml:space="preserve">Ask each function head what they handled without legal</t>
  </si>
  <si>
    <t xml:space="preserve">Self-reported. Under-counted by nature.</t>
  </si>
  <si>
    <t xml:space="preserve">Total traces this period</t>
  </si>
  <si>
    <t xml:space="preserve">Directional only. Never let the read claim more than the traces support.</t>
  </si>
</sst>
</file>

<file path=xl/styles.xml><?xml version="1.0" encoding="utf-8"?>
<styleSheet xmlns="http://schemas.openxmlformats.org/spreadsheetml/2006/main">
  <numFmts count="12">
    <numFmt numFmtId="164" formatCode="General"/>
    <numFmt numFmtId="165" formatCode="@"/>
    <numFmt numFmtId="166" formatCode="yyyy\-mm\-dd"/>
    <numFmt numFmtId="167" formatCode="0"/>
    <numFmt numFmtId="168" formatCode="0.00"/>
    <numFmt numFmtId="169" formatCode="0.0"/>
    <numFmt numFmtId="170" formatCode="0%"/>
    <numFmt numFmtId="171" formatCode="0.0%"/>
    <numFmt numFmtId="172" formatCode="\$#,##0"/>
    <numFmt numFmtId="173" formatCode="yyyy\-mm\-dd\ hh:mm"/>
    <numFmt numFmtId="174" formatCode="\$#,##0;&quot;($&quot;#,##0\);\-"/>
    <numFmt numFmtId="175" formatCode="General"/>
  </numFmts>
  <fonts count="31">
    <font>
      <sz val="11"/>
      <color theme="1"/>
      <name val="Calibri"/>
      <family val="2"/>
      <charset val="1"/>
    </font>
    <font>
      <sz val="10"/>
      <name val="Arial"/>
      <family val="0"/>
    </font>
    <font>
      <sz val="10"/>
      <name val="Arial"/>
      <family val="0"/>
    </font>
    <font>
      <sz val="10"/>
      <name val="Arial"/>
      <family val="0"/>
    </font>
    <font>
      <b val="true"/>
      <sz val="9"/>
      <color rgb="FF1D4ED8"/>
      <name val="Albert Sans"/>
      <family val="0"/>
      <charset val="1"/>
    </font>
    <font>
      <b val="true"/>
      <sz val="24"/>
      <color rgb="FF1A1F36"/>
      <name val="Albert Sans"/>
      <family val="0"/>
      <charset val="1"/>
    </font>
    <font>
      <sz val="11"/>
      <color rgb="FF4B5563"/>
      <name val="Albert Sans"/>
      <family val="0"/>
      <charset val="1"/>
    </font>
    <font>
      <b val="true"/>
      <sz val="12"/>
      <color rgb="FF1D4ED8"/>
      <name val="Albert Sans"/>
      <family val="0"/>
      <charset val="1"/>
    </font>
    <font>
      <sz val="10"/>
      <color rgb="FF1A1F36"/>
      <name val="Albert Sans"/>
      <family val="0"/>
      <charset val="1"/>
    </font>
    <font>
      <b val="true"/>
      <sz val="9"/>
      <color rgb="FFFFFFFF"/>
      <name val="Albert Sans"/>
      <family val="0"/>
      <charset val="1"/>
    </font>
    <font>
      <b val="true"/>
      <sz val="9.5"/>
      <color rgb="FF1A1F36"/>
      <name val="Albert Sans"/>
      <family val="0"/>
      <charset val="1"/>
    </font>
    <font>
      <sz val="9.5"/>
      <color rgb="FF1A1F36"/>
      <name val="Albert Sans"/>
      <family val="0"/>
      <charset val="1"/>
    </font>
    <font>
      <i val="true"/>
      <sz val="9"/>
      <color rgb="FF4B5563"/>
      <name val="Albert Sans"/>
      <family val="0"/>
      <charset val="1"/>
    </font>
    <font>
      <sz val="9"/>
      <color rgb="FF4B5563"/>
      <name val="Albert Sans"/>
      <family val="0"/>
      <charset val="1"/>
    </font>
    <font>
      <b val="true"/>
      <sz val="11"/>
      <color rgb="FFFFFFFF"/>
      <name val="Albert Sans"/>
      <family val="0"/>
      <charset val="1"/>
    </font>
    <font>
      <b val="true"/>
      <sz val="10.5"/>
      <color rgb="FF1A1F36"/>
      <name val="Albert Sans"/>
      <family val="0"/>
      <charset val="1"/>
    </font>
    <font>
      <b val="true"/>
      <sz val="10.5"/>
      <color rgb="FF1D4ED8"/>
      <name val="Albert Sans"/>
      <family val="0"/>
      <charset val="1"/>
    </font>
    <font>
      <sz val="9.5"/>
      <color rgb="FF4B5563"/>
      <name val="Albert Sans"/>
      <family val="0"/>
      <charset val="1"/>
    </font>
    <font>
      <b val="true"/>
      <sz val="10"/>
      <color rgb="FF1A1F36"/>
      <name val="Albert Sans"/>
      <family val="0"/>
      <charset val="1"/>
    </font>
    <font>
      <i val="true"/>
      <sz val="9"/>
      <color rgb="FFB45309"/>
      <name val="Albert Sans"/>
      <family val="0"/>
      <charset val="1"/>
    </font>
    <font>
      <b val="true"/>
      <sz val="8.5"/>
      <color rgb="FF1D4ED8"/>
      <name val="Albert Sans"/>
      <family val="0"/>
      <charset val="1"/>
    </font>
    <font>
      <b val="true"/>
      <sz val="16"/>
      <color rgb="FF1A1F36"/>
      <name val="Albert Sans"/>
      <family val="0"/>
      <charset val="1"/>
    </font>
    <font>
      <b val="true"/>
      <sz val="10"/>
      <color rgb="FF2563EB"/>
      <name val="Albert Sans"/>
      <family val="0"/>
      <charset val="1"/>
    </font>
    <font>
      <sz val="9.5"/>
      <color rgb="FF2563EB"/>
      <name val="Albert Sans"/>
      <family val="0"/>
      <charset val="1"/>
    </font>
    <font>
      <b val="true"/>
      <sz val="9"/>
      <color rgb="FF4B5563"/>
      <name val="Albert Sans"/>
      <family val="0"/>
      <charset val="1"/>
    </font>
    <font>
      <b val="true"/>
      <sz val="9.5"/>
      <color rgb="FF4B5563"/>
      <name val="Albert Sans"/>
      <family val="0"/>
      <charset val="1"/>
    </font>
    <font>
      <sz val="10"/>
      <name val="Arial"/>
      <family val="2"/>
    </font>
    <font>
      <b val="true"/>
      <sz val="9.5"/>
      <color rgb="FF1D4ED8"/>
      <name val="Albert Sans"/>
      <family val="0"/>
      <charset val="1"/>
    </font>
    <font>
      <b val="true"/>
      <sz val="8"/>
      <color rgb="FF4B5563"/>
      <name val="Albert Sans"/>
      <family val="0"/>
      <charset val="1"/>
    </font>
    <font>
      <i val="true"/>
      <sz val="8.5"/>
      <color rgb="FF4B5563"/>
      <name val="Albert Sans"/>
      <family val="0"/>
      <charset val="1"/>
    </font>
    <font>
      <i val="true"/>
      <sz val="9.5"/>
      <color rgb="FF4B5563"/>
      <name val="Albert Sans"/>
      <family val="0"/>
      <charset val="1"/>
    </font>
  </fonts>
  <fills count="7">
    <fill>
      <patternFill patternType="none"/>
    </fill>
    <fill>
      <patternFill patternType="gray125"/>
    </fill>
    <fill>
      <patternFill patternType="solid">
        <fgColor rgb="FF1A1F36"/>
        <bgColor rgb="FF003366"/>
      </patternFill>
    </fill>
    <fill>
      <patternFill patternType="solid">
        <fgColor rgb="FFFFFFFF"/>
        <bgColor rgb="FFF7F8FA"/>
      </patternFill>
    </fill>
    <fill>
      <patternFill patternType="solid">
        <fgColor rgb="FFEFF6FF"/>
        <bgColor rgb="FFF7F8FA"/>
      </patternFill>
    </fill>
    <fill>
      <patternFill patternType="solid">
        <fgColor rgb="FFF7F8FA"/>
        <bgColor rgb="FFEFF6FF"/>
      </patternFill>
    </fill>
    <fill>
      <patternFill patternType="solid">
        <fgColor rgb="FF4B5563"/>
        <bgColor rgb="FF333399"/>
      </patternFill>
    </fill>
  </fills>
  <borders count="3">
    <border diagonalUp="false" diagonalDown="false">
      <left/>
      <right/>
      <top/>
      <bottom/>
      <diagonal/>
    </border>
    <border diagonalUp="false" diagonalDown="false">
      <left/>
      <right/>
      <top/>
      <bottom style="medium">
        <color rgb="FF1D4ED8"/>
      </bottom>
      <diagonal/>
    </border>
    <border diagonalUp="false" diagonalDown="false">
      <left style="thin">
        <color rgb="FFE5E7EB"/>
      </left>
      <right style="thin">
        <color rgb="FFE5E7EB"/>
      </right>
      <top style="thin">
        <color rgb="FFE5E7EB"/>
      </top>
      <bottom style="thin">
        <color rgb="FFE5E7E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left" vertical="top" textRotation="0" wrapText="true" indent="0" shrinkToFit="false"/>
      <protection locked="true" hidden="false"/>
    </xf>
    <xf numFmtId="164" fontId="9" fillId="2" borderId="2" xfId="0" applyFont="true" applyBorder="true" applyAlignment="true" applyProtection="false">
      <alignment horizontal="left" vertical="center" textRotation="0" wrapText="true" indent="0" shrinkToFit="false"/>
      <protection locked="true" hidden="false"/>
    </xf>
    <xf numFmtId="164" fontId="10" fillId="3" borderId="2" xfId="0" applyFont="true" applyBorder="true" applyAlignment="true" applyProtection="false">
      <alignment horizontal="left" vertical="center" textRotation="0" wrapText="true" indent="0" shrinkToFit="false"/>
      <protection locked="true" hidden="false"/>
    </xf>
    <xf numFmtId="164" fontId="11" fillId="3" borderId="2" xfId="0" applyFont="true" applyBorder="true" applyAlignment="true" applyProtection="false">
      <alignment horizontal="left" vertical="center" textRotation="0" wrapText="true" indent="0" shrinkToFit="false"/>
      <protection locked="true" hidden="false"/>
    </xf>
    <xf numFmtId="164" fontId="10" fillId="4" borderId="2" xfId="0" applyFont="true" applyBorder="true" applyAlignment="true" applyProtection="false">
      <alignment horizontal="left" vertical="center" textRotation="0" wrapText="true" indent="0" shrinkToFit="false"/>
      <protection locked="true" hidden="false"/>
    </xf>
    <xf numFmtId="164" fontId="11" fillId="4" borderId="2" xfId="0" applyFont="true" applyBorder="true" applyAlignment="true" applyProtection="false">
      <alignment horizontal="left" vertical="center" textRotation="0" wrapText="true" indent="0" shrinkToFit="false"/>
      <protection locked="true" hidden="false"/>
    </xf>
    <xf numFmtId="164" fontId="12" fillId="0" borderId="0" xfId="0" applyFont="true" applyBorder="true" applyAlignment="true" applyProtection="false">
      <alignment horizontal="left" vertical="top" textRotation="0" wrapText="tru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9" fillId="2" borderId="2" xfId="0" applyFont="true" applyBorder="true" applyAlignment="true" applyProtection="false">
      <alignment horizontal="center" vertical="center" textRotation="0" wrapText="true" indent="0" shrinkToFit="false"/>
      <protection locked="true" hidden="false"/>
    </xf>
    <xf numFmtId="164" fontId="14" fillId="2" borderId="2" xfId="0" applyFont="true" applyBorder="true" applyAlignment="true" applyProtection="false">
      <alignment horizontal="left" vertical="center" textRotation="0" wrapText="false" indent="0" shrinkToFit="false"/>
      <protection locked="true" hidden="false"/>
    </xf>
    <xf numFmtId="164" fontId="15" fillId="0" borderId="2" xfId="0" applyFont="true" applyBorder="true" applyAlignment="true" applyProtection="false">
      <alignment horizontal="left" vertical="center" textRotation="0" wrapText="true" indent="0" shrinkToFit="false"/>
      <protection locked="true" hidden="false"/>
    </xf>
    <xf numFmtId="164" fontId="16" fillId="0" borderId="2" xfId="0" applyFont="true" applyBorder="true" applyAlignment="true" applyProtection="false">
      <alignment horizontal="left" vertical="center" textRotation="0" wrapText="true" indent="0" shrinkToFit="false"/>
      <protection locked="true" hidden="false"/>
    </xf>
    <xf numFmtId="164" fontId="17" fillId="0" borderId="2" xfId="0" applyFont="true" applyBorder="true" applyAlignment="true" applyProtection="false">
      <alignment horizontal="left" vertical="center" textRotation="0" wrapText="true" indent="0" shrinkToFit="false"/>
      <protection locked="true" hidden="false"/>
    </xf>
    <xf numFmtId="164" fontId="18" fillId="0" borderId="2" xfId="0" applyFont="true" applyBorder="true" applyAlignment="true" applyProtection="false">
      <alignment horizontal="center" vertical="center" textRotation="0" wrapText="true" indent="0" shrinkToFit="false"/>
      <protection locked="true" hidden="false"/>
    </xf>
    <xf numFmtId="164" fontId="11" fillId="0" borderId="2" xfId="0" applyFont="true" applyBorder="true" applyAlignment="true" applyProtection="false">
      <alignment horizontal="center" vertical="center" textRotation="0" wrapText="true" indent="0" shrinkToFit="false"/>
      <protection locked="true" hidden="false"/>
    </xf>
    <xf numFmtId="164" fontId="11" fillId="0" borderId="2" xfId="0" applyFont="true" applyBorder="true" applyAlignment="true" applyProtection="false">
      <alignment horizontal="left" vertical="center" textRotation="0" wrapText="true" indent="0" shrinkToFit="false"/>
      <protection locked="true" hidden="false"/>
    </xf>
    <xf numFmtId="164" fontId="15" fillId="5" borderId="2" xfId="0" applyFont="true" applyBorder="true" applyAlignment="true" applyProtection="false">
      <alignment horizontal="left" vertical="center" textRotation="0" wrapText="true" indent="0" shrinkToFit="false"/>
      <protection locked="true" hidden="false"/>
    </xf>
    <xf numFmtId="164" fontId="16" fillId="5" borderId="2" xfId="0" applyFont="true" applyBorder="true" applyAlignment="true" applyProtection="false">
      <alignment horizontal="left" vertical="center" textRotation="0" wrapText="true" indent="0" shrinkToFit="false"/>
      <protection locked="true" hidden="false"/>
    </xf>
    <xf numFmtId="164" fontId="17" fillId="5" borderId="2" xfId="0" applyFont="true" applyBorder="true" applyAlignment="true" applyProtection="false">
      <alignment horizontal="left" vertical="center" textRotation="0" wrapText="true" indent="0" shrinkToFit="false"/>
      <protection locked="true" hidden="false"/>
    </xf>
    <xf numFmtId="164" fontId="11" fillId="5" borderId="2" xfId="0" applyFont="true" applyBorder="true" applyAlignment="true" applyProtection="false">
      <alignment horizontal="left" vertical="center" textRotation="0" wrapText="true" indent="0" shrinkToFit="false"/>
      <protection locked="true" hidden="false"/>
    </xf>
    <xf numFmtId="164" fontId="12" fillId="0" borderId="0" xfId="0" applyFont="true" applyBorder="true" applyAlignment="true" applyProtection="false">
      <alignment horizontal="left" vertical="center" textRotation="0" wrapText="true" indent="0" shrinkToFit="false"/>
      <protection locked="true" hidden="false"/>
    </xf>
    <xf numFmtId="164" fontId="19" fillId="0" borderId="0" xfId="0" applyFont="true" applyBorder="true" applyAlignment="true" applyProtection="false">
      <alignment horizontal="left" vertical="center" textRotation="0" wrapText="true" indent="0" shrinkToFit="false"/>
      <protection locked="true" hidden="false"/>
    </xf>
    <xf numFmtId="164" fontId="13" fillId="0" borderId="0" xfId="0" applyFont="true" applyBorder="true" applyAlignment="true" applyProtection="false">
      <alignment horizontal="general" vertical="bottom" textRotation="0" wrapText="false" indent="0" shrinkToFit="false"/>
      <protection locked="true" hidden="false"/>
    </xf>
    <xf numFmtId="164" fontId="20" fillId="0" borderId="0" xfId="0" applyFont="true" applyBorder="false" applyAlignment="true" applyProtection="false">
      <alignment horizontal="general" vertical="bottom" textRotation="0" wrapText="false" indent="0" shrinkToFit="false"/>
      <protection locked="true" hidden="false"/>
    </xf>
    <xf numFmtId="164" fontId="21"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10" fillId="5" borderId="2" xfId="0" applyFont="true" applyBorder="true" applyAlignment="true" applyProtection="false">
      <alignment horizontal="left" vertical="center" textRotation="0" wrapText="false" indent="0" shrinkToFit="false"/>
      <protection locked="true" hidden="false"/>
    </xf>
    <xf numFmtId="165" fontId="22" fillId="4" borderId="2" xfId="0" applyFont="true" applyBorder="true" applyAlignment="true" applyProtection="false">
      <alignment horizontal="left" vertical="center" textRotation="0" wrapText="false" indent="0" shrinkToFit="false"/>
      <protection locked="true" hidden="false"/>
    </xf>
    <xf numFmtId="165" fontId="22" fillId="4" borderId="2" xfId="0" applyFont="true" applyBorder="true" applyAlignment="true" applyProtection="false">
      <alignment horizontal="center" vertical="center" textRotation="0" wrapText="false" indent="0" shrinkToFit="false"/>
      <protection locked="true" hidden="false"/>
    </xf>
    <xf numFmtId="166" fontId="22" fillId="4" borderId="2" xfId="0" applyFont="true" applyBorder="true" applyAlignment="true" applyProtection="false">
      <alignment horizontal="center" vertical="center" textRotation="0" wrapText="false" indent="0" shrinkToFit="false"/>
      <protection locked="true" hidden="false"/>
    </xf>
    <xf numFmtId="167" fontId="22" fillId="4" borderId="2" xfId="0" applyFont="true" applyBorder="true" applyAlignment="true" applyProtection="false">
      <alignment horizontal="center" vertical="center" textRotation="0" wrapText="false" indent="0" shrinkToFit="false"/>
      <protection locked="true" hidden="false"/>
    </xf>
    <xf numFmtId="164" fontId="10" fillId="3" borderId="2" xfId="0" applyFont="true" applyBorder="true" applyAlignment="true" applyProtection="false">
      <alignment horizontal="left" vertical="center" textRotation="0" wrapText="false" indent="0" shrinkToFit="false"/>
      <protection locked="true" hidden="false"/>
    </xf>
    <xf numFmtId="168" fontId="23" fillId="4" borderId="2" xfId="0" applyFont="true" applyBorder="true" applyAlignment="true" applyProtection="false">
      <alignment horizontal="center" vertical="center" textRotation="0" wrapText="false" indent="0" shrinkToFit="false"/>
      <protection locked="true" hidden="false"/>
    </xf>
    <xf numFmtId="165" fontId="23" fillId="4" borderId="2" xfId="0" applyFont="true" applyBorder="true" applyAlignment="true" applyProtection="false">
      <alignment horizontal="center" vertical="center" textRotation="0" wrapText="false" indent="0" shrinkToFit="false"/>
      <protection locked="true" hidden="false"/>
    </xf>
    <xf numFmtId="164" fontId="10" fillId="4" borderId="2" xfId="0" applyFont="true" applyBorder="true" applyAlignment="true" applyProtection="false">
      <alignment horizontal="left" vertical="center" textRotation="0" wrapText="false" indent="0" shrinkToFit="false"/>
      <protection locked="true" hidden="false"/>
    </xf>
    <xf numFmtId="167" fontId="23" fillId="4" borderId="2" xfId="0" applyFont="true" applyBorder="true" applyAlignment="true" applyProtection="false">
      <alignment horizontal="center" vertical="center" textRotation="0" wrapText="false" indent="0" shrinkToFit="false"/>
      <protection locked="true" hidden="false"/>
    </xf>
    <xf numFmtId="169" fontId="23" fillId="4" borderId="2" xfId="0" applyFont="true" applyBorder="true" applyAlignment="true" applyProtection="false">
      <alignment horizontal="center" vertical="center" textRotation="0" wrapText="false" indent="0" shrinkToFit="false"/>
      <protection locked="true" hidden="false"/>
    </xf>
    <xf numFmtId="170" fontId="23" fillId="4" borderId="2" xfId="0" applyFont="true" applyBorder="true" applyAlignment="true" applyProtection="false">
      <alignment horizontal="center" vertical="center" textRotation="0" wrapText="false" indent="0" shrinkToFit="false"/>
      <protection locked="true" hidden="false"/>
    </xf>
    <xf numFmtId="171" fontId="23" fillId="4" borderId="2" xfId="0" applyFont="true" applyBorder="true" applyAlignment="true" applyProtection="false">
      <alignment horizontal="center" vertical="center" textRotation="0" wrapText="false" indent="0" shrinkToFit="false"/>
      <protection locked="true" hidden="false"/>
    </xf>
    <xf numFmtId="164" fontId="12" fillId="0" borderId="0" xfId="0" applyFont="true" applyBorder="true" applyAlignment="true" applyProtection="false">
      <alignment horizontal="general" vertical="bottom" textRotation="0" wrapText="false" indent="0" shrinkToFit="false"/>
      <protection locked="true" hidden="false"/>
    </xf>
    <xf numFmtId="164" fontId="24" fillId="0" borderId="0" xfId="0" applyFont="true" applyBorder="false" applyAlignment="true" applyProtection="false">
      <alignment horizontal="general" vertical="bottom" textRotation="0" wrapText="false" indent="0" shrinkToFit="false"/>
      <protection locked="true" hidden="false"/>
    </xf>
    <xf numFmtId="164" fontId="9" fillId="6" borderId="2" xfId="0" applyFont="true" applyBorder="true" applyAlignment="true" applyProtection="false">
      <alignment horizontal="left" vertical="center" textRotation="0" wrapText="true" indent="0" shrinkToFit="false"/>
      <protection locked="true" hidden="false"/>
    </xf>
    <xf numFmtId="164" fontId="9" fillId="6" borderId="2" xfId="0" applyFont="true" applyBorder="true" applyAlignment="true" applyProtection="false">
      <alignment horizontal="center" vertical="center" textRotation="0" wrapText="true" indent="0" shrinkToFit="false"/>
      <protection locked="true" hidden="false"/>
    </xf>
    <xf numFmtId="168" fontId="17" fillId="5" borderId="2" xfId="0" applyFont="true" applyBorder="true" applyAlignment="true" applyProtection="false">
      <alignment horizontal="center" vertical="center" textRotation="0" wrapText="false" indent="0" shrinkToFit="false"/>
      <protection locked="true" hidden="false"/>
    </xf>
    <xf numFmtId="167" fontId="17" fillId="5" borderId="2" xfId="0" applyFont="true" applyBorder="true" applyAlignment="true" applyProtection="false">
      <alignment horizontal="center" vertical="center" textRotation="0" wrapText="false" indent="0" shrinkToFit="false"/>
      <protection locked="true" hidden="false"/>
    </xf>
    <xf numFmtId="165" fontId="10" fillId="5" borderId="2" xfId="0" applyFont="true" applyBorder="true" applyAlignment="true" applyProtection="false">
      <alignment horizontal="left" vertical="center" textRotation="0" wrapText="false" indent="0" shrinkToFit="false"/>
      <protection locked="true" hidden="false"/>
    </xf>
    <xf numFmtId="165" fontId="10" fillId="5" borderId="2" xfId="0" applyFont="true" applyBorder="true" applyAlignment="true" applyProtection="false">
      <alignment horizontal="center" vertical="center" textRotation="0" wrapText="false" indent="0" shrinkToFit="false"/>
      <protection locked="true" hidden="false"/>
    </xf>
    <xf numFmtId="169" fontId="17" fillId="5" borderId="2" xfId="0" applyFont="true" applyBorder="true" applyAlignment="true" applyProtection="false">
      <alignment horizontal="center" vertical="center" textRotation="0" wrapText="false" indent="0" shrinkToFit="false"/>
      <protection locked="true" hidden="false"/>
    </xf>
    <xf numFmtId="170" fontId="17" fillId="5" borderId="2" xfId="0" applyFont="true" applyBorder="true" applyAlignment="true" applyProtection="false">
      <alignment horizontal="center" vertical="center" textRotation="0" wrapText="false" indent="0" shrinkToFit="false"/>
      <protection locked="true" hidden="false"/>
    </xf>
    <xf numFmtId="172" fontId="17" fillId="5" borderId="2" xfId="0" applyFont="true" applyBorder="true" applyAlignment="true" applyProtection="false">
      <alignment horizontal="center" vertical="center" textRotation="0" wrapText="false" indent="0" shrinkToFit="false"/>
      <protection locked="true" hidden="false"/>
    </xf>
    <xf numFmtId="164" fontId="11" fillId="5" borderId="2" xfId="0" applyFont="true" applyBorder="true" applyAlignment="true" applyProtection="false">
      <alignment horizontal="left" vertical="center" textRotation="0" wrapText="false" indent="0" shrinkToFit="false"/>
      <protection locked="true" hidden="false"/>
    </xf>
    <xf numFmtId="169" fontId="25" fillId="5" borderId="2" xfId="0" applyFont="true" applyBorder="true" applyAlignment="true" applyProtection="false">
      <alignment horizontal="center" vertical="center" textRotation="0" wrapText="false" indent="0" shrinkToFit="false"/>
      <protection locked="true" hidden="false"/>
    </xf>
    <xf numFmtId="164" fontId="27" fillId="0" borderId="0" xfId="0" applyFont="true" applyBorder="false" applyAlignment="true" applyProtection="false">
      <alignment horizontal="general" vertical="bottom" textRotation="0" wrapText="false" indent="0" shrinkToFit="false"/>
      <protection locked="true" hidden="false"/>
    </xf>
    <xf numFmtId="164" fontId="28" fillId="0" borderId="0" xfId="0" applyFont="true" applyBorder="false" applyAlignment="true" applyProtection="false">
      <alignment horizontal="general" vertical="bottom" textRotation="0" wrapText="false" indent="0" shrinkToFit="false"/>
      <protection locked="true" hidden="false"/>
    </xf>
    <xf numFmtId="164" fontId="29" fillId="0" borderId="0" xfId="0" applyFont="true" applyBorder="false" applyAlignment="true" applyProtection="false">
      <alignment horizontal="general" vertical="bottom" textRotation="0" wrapText="false" indent="0" shrinkToFit="false"/>
      <protection locked="true" hidden="false"/>
    </xf>
    <xf numFmtId="164" fontId="11" fillId="0" borderId="2" xfId="0" applyFont="true" applyBorder="true" applyAlignment="true" applyProtection="false">
      <alignment horizontal="left" vertical="center" textRotation="0" wrapText="false" indent="0" shrinkToFit="false"/>
      <protection locked="true" hidden="false"/>
    </xf>
    <xf numFmtId="173" fontId="11" fillId="0" borderId="2" xfId="0" applyFont="true" applyBorder="true" applyAlignment="true" applyProtection="false">
      <alignment horizontal="center" vertical="center" textRotation="0" wrapText="false" indent="0" shrinkToFit="false"/>
      <protection locked="true" hidden="false"/>
    </xf>
    <xf numFmtId="168" fontId="30" fillId="5" borderId="2" xfId="0" applyFont="true" applyBorder="true" applyAlignment="true" applyProtection="false">
      <alignment horizontal="center" vertical="center" textRotation="0" wrapText="false" indent="0" shrinkToFit="false"/>
      <protection locked="true" hidden="false"/>
    </xf>
    <xf numFmtId="164" fontId="30" fillId="5" borderId="2" xfId="0" applyFont="true" applyBorder="true" applyAlignment="true" applyProtection="false">
      <alignment horizontal="center" vertical="center" textRotation="0" wrapText="false" indent="0" shrinkToFit="false"/>
      <protection locked="true" hidden="false"/>
    </xf>
    <xf numFmtId="164" fontId="11" fillId="4" borderId="2" xfId="0" applyFont="true" applyBorder="true" applyAlignment="true" applyProtection="false">
      <alignment horizontal="left" vertical="center" textRotation="0" wrapText="false" indent="0" shrinkToFit="false"/>
      <protection locked="true" hidden="false"/>
    </xf>
    <xf numFmtId="173" fontId="11" fillId="4" borderId="2" xfId="0" applyFont="true" applyBorder="true" applyAlignment="true" applyProtection="false">
      <alignment horizontal="center" vertical="center" textRotation="0" wrapText="false" indent="0" shrinkToFit="false"/>
      <protection locked="true" hidden="false"/>
    </xf>
    <xf numFmtId="166" fontId="11" fillId="0" borderId="2" xfId="0" applyFont="true" applyBorder="true" applyAlignment="true" applyProtection="false">
      <alignment horizontal="center" vertical="center" textRotation="0" wrapText="false" indent="0" shrinkToFit="false"/>
      <protection locked="true" hidden="false"/>
    </xf>
    <xf numFmtId="166" fontId="11" fillId="4" borderId="2" xfId="0" applyFont="true" applyBorder="true" applyAlignment="true" applyProtection="false">
      <alignment horizontal="center" vertical="center" textRotation="0" wrapText="false" indent="0" shrinkToFit="false"/>
      <protection locked="true" hidden="false"/>
    </xf>
    <xf numFmtId="164" fontId="9" fillId="2" borderId="2" xfId="0" applyFont="true" applyBorder="true" applyAlignment="true" applyProtection="false">
      <alignment horizontal="left" vertical="center" textRotation="0" wrapText="false" indent="0" shrinkToFit="false"/>
      <protection locked="true" hidden="false"/>
    </xf>
    <xf numFmtId="164" fontId="9" fillId="2" borderId="2" xfId="0" applyFont="true" applyBorder="true" applyAlignment="true" applyProtection="false">
      <alignment horizontal="right" vertical="center" textRotation="0" wrapText="false" indent="0" shrinkToFit="false"/>
      <protection locked="true" hidden="false"/>
    </xf>
    <xf numFmtId="174" fontId="11" fillId="0" borderId="2" xfId="0" applyFont="true" applyBorder="true" applyAlignment="true" applyProtection="false">
      <alignment horizontal="right" vertical="center" textRotation="0" wrapText="false" indent="0" shrinkToFit="false"/>
      <protection locked="true" hidden="false"/>
    </xf>
    <xf numFmtId="174" fontId="30" fillId="5" borderId="2" xfId="0" applyFont="true" applyBorder="true" applyAlignment="true" applyProtection="false">
      <alignment horizontal="right" vertical="center" textRotation="0" wrapText="false" indent="0" shrinkToFit="false"/>
      <protection locked="true" hidden="false"/>
    </xf>
    <xf numFmtId="164" fontId="11" fillId="3" borderId="2" xfId="0" applyFont="true" applyBorder="true" applyAlignment="true" applyProtection="false">
      <alignment horizontal="left" vertical="center" textRotation="0" wrapText="false" indent="0" shrinkToFit="false"/>
      <protection locked="true" hidden="false"/>
    </xf>
    <xf numFmtId="174" fontId="11" fillId="3" borderId="2" xfId="0" applyFont="true" applyBorder="true" applyAlignment="true" applyProtection="false">
      <alignment horizontal="right" vertical="center" textRotation="0" wrapText="false" indent="0" shrinkToFit="false"/>
      <protection locked="true" hidden="false"/>
    </xf>
    <xf numFmtId="174" fontId="11" fillId="4" borderId="2" xfId="0" applyFont="true" applyBorder="true" applyAlignment="true" applyProtection="false">
      <alignment horizontal="right" vertical="center" textRotation="0" wrapText="false" indent="0" shrinkToFit="false"/>
      <protection locked="true" hidden="false"/>
    </xf>
    <xf numFmtId="164" fontId="18" fillId="5" borderId="2" xfId="0" applyFont="true" applyBorder="true" applyAlignment="true" applyProtection="false">
      <alignment horizontal="left" vertical="center" textRotation="0" wrapText="false" indent="0" shrinkToFit="false"/>
      <protection locked="true" hidden="false"/>
    </xf>
    <xf numFmtId="174" fontId="18" fillId="5" borderId="2" xfId="0" applyFont="true" applyBorder="true" applyAlignment="true" applyProtection="false">
      <alignment horizontal="right" vertical="center" textRotation="0" wrapText="false" indent="0" shrinkToFit="false"/>
      <protection locked="true" hidden="false"/>
    </xf>
    <xf numFmtId="164" fontId="12" fillId="5" borderId="2" xfId="0" applyFont="true" applyBorder="true" applyAlignment="true" applyProtection="false">
      <alignment horizontal="left" vertical="center" textRotation="0" wrapText="true" indent="0" shrinkToFit="false"/>
      <protection locked="true" hidden="false"/>
    </xf>
    <xf numFmtId="164" fontId="10" fillId="0" borderId="0" xfId="0" applyFont="true" applyBorder="false" applyAlignment="true" applyProtection="false">
      <alignment horizontal="left" vertical="center" textRotation="0" wrapText="true" indent="0" shrinkToFit="false"/>
      <protection locked="true" hidden="false"/>
    </xf>
    <xf numFmtId="174" fontId="22" fillId="4" borderId="2" xfId="0" applyFont="true" applyBorder="true" applyAlignment="true" applyProtection="false">
      <alignment horizontal="right" vertical="center" textRotation="0" wrapText="false" indent="0" shrinkToFit="false"/>
      <protection locked="true" hidden="false"/>
    </xf>
    <xf numFmtId="164" fontId="12" fillId="0" borderId="0" xfId="0" applyFont="true" applyBorder="false" applyAlignment="true" applyProtection="false">
      <alignment horizontal="left" vertical="center" textRotation="0" wrapText="true" indent="0" shrinkToFit="false"/>
      <protection locked="true" hidden="false"/>
    </xf>
    <xf numFmtId="164" fontId="11" fillId="0" borderId="2" xfId="0" applyFont="true" applyBorder="true" applyAlignment="true" applyProtection="false">
      <alignment horizontal="center" vertical="center" textRotation="0" wrapText="false" indent="0" shrinkToFit="false"/>
      <protection locked="true" hidden="false"/>
    </xf>
    <xf numFmtId="164" fontId="11" fillId="4" borderId="2" xfId="0" applyFont="true" applyBorder="true" applyAlignment="true" applyProtection="false">
      <alignment horizontal="center" vertical="center" textRotation="0" wrapText="false" indent="0" shrinkToFit="false"/>
      <protection locked="true" hidden="false"/>
    </xf>
    <xf numFmtId="164" fontId="18" fillId="5" borderId="2" xfId="0" applyFont="true" applyBorder="true" applyAlignment="true" applyProtection="false">
      <alignment horizontal="right" vertical="center" textRotation="0" wrapText="false" indent="0" shrinkToFit="false"/>
      <protection locked="true" hidden="false"/>
    </xf>
    <xf numFmtId="175" fontId="18" fillId="5" borderId="2"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2">
    <dxf>
      <font>
        <name val="Albert Sans"/>
        <charset val="1"/>
        <family val="0"/>
        <b val="1"/>
        <color rgb="FF15803D"/>
        <sz val="10"/>
      </font>
      <fill>
        <patternFill>
          <bgColor rgb="FFDCFCE7"/>
        </patternFill>
      </fill>
    </dxf>
    <dxf>
      <font>
        <name val="Albert Sans"/>
        <charset val="1"/>
        <family val="0"/>
        <b val="1"/>
        <color rgb="FFB45309"/>
        <sz val="10"/>
      </font>
      <fill>
        <patternFill>
          <bgColor rgb="FFFEF3C7"/>
        </patternFill>
      </fill>
    </dxf>
    <dxf>
      <font>
        <name val="Albert Sans"/>
        <charset val="1"/>
        <family val="0"/>
        <b val="1"/>
        <color rgb="FFB91C1C"/>
        <sz val="10"/>
      </font>
      <fill>
        <patternFill>
          <bgColor rgb="FFFEE2E2"/>
        </patternFill>
      </fill>
    </dxf>
    <dxf>
      <font>
        <name val="Albert Sans"/>
        <charset val="1"/>
        <family val="0"/>
        <b val="1"/>
        <color rgb="FF15803D"/>
        <sz val="10"/>
      </font>
    </dxf>
    <dxf>
      <font>
        <name val="Albert Sans"/>
        <charset val="1"/>
        <family val="0"/>
        <b val="1"/>
        <color rgb="FFB91C1C"/>
        <sz val="10"/>
      </font>
    </dxf>
    <dxf>
      <font>
        <name val="Albert Sans"/>
        <charset val="1"/>
        <family val="0"/>
        <b val="1"/>
        <color rgb="FF4B5563"/>
        <sz val="10"/>
      </font>
    </dxf>
    <dxf>
      <font>
        <name val="Albert Sans"/>
        <charset val="1"/>
        <family val="0"/>
        <i val="1"/>
        <color rgb="FFB45309"/>
        <sz val="9"/>
      </font>
    </dxf>
    <dxf>
      <font>
        <name val="Albert Sans"/>
        <charset val="1"/>
        <family val="0"/>
        <b val="1"/>
        <color rgb="FFB91C1C"/>
        <sz val="9"/>
      </font>
      <fill>
        <patternFill>
          <bgColor rgb="FFFEE2E2"/>
        </patternFill>
      </fill>
    </dxf>
    <dxf>
      <font>
        <name val="Albert Sans"/>
        <charset val="1"/>
        <family val="0"/>
        <b val="1"/>
        <color rgb="FFB91C1C"/>
        <sz val="9"/>
      </font>
    </dxf>
    <dxf>
      <font>
        <name val="Albert Sans"/>
        <charset val="1"/>
        <family val="0"/>
        <b val="1"/>
        <color rgb="FF1D4ED8"/>
        <sz val="9"/>
      </font>
    </dxf>
    <dxf>
      <font>
        <name val="Albert Sans"/>
        <charset val="1"/>
        <family val="0"/>
        <b val="1"/>
        <color rgb="FFB45309"/>
        <sz val="9"/>
      </font>
      <fill>
        <patternFill>
          <bgColor rgb="FFFEF3C7"/>
        </patternFill>
      </fill>
    </dxf>
    <dxf>
      <font>
        <name val="Albert Sans"/>
        <charset val="1"/>
        <family val="0"/>
        <b val="1"/>
        <color rgb="FFB45309"/>
        <sz val="9"/>
      </font>
    </dxf>
  </dxfs>
  <colors>
    <indexedColors>
      <rgbColor rgb="FF000000"/>
      <rgbColor rgb="FFFFFFFF"/>
      <rgbColor rgb="FFFF0000"/>
      <rgbColor rgb="FF00FF00"/>
      <rgbColor rgb="FF0000FF"/>
      <rgbColor rgb="FFFFFF00"/>
      <rgbColor rgb="FFFF00FF"/>
      <rgbColor rgb="FF00FFFF"/>
      <rgbColor rgb="FF800000"/>
      <rgbColor rgb="FF15803D"/>
      <rgbColor rgb="FF000080"/>
      <rgbColor rgb="FF808000"/>
      <rgbColor rgb="FF800080"/>
      <rgbColor rgb="FF008080"/>
      <rgbColor rgb="FFC0C0C0"/>
      <rgbColor rgb="FF808080"/>
      <rgbColor rgb="FF9999FF"/>
      <rgbColor rgb="FFB45309"/>
      <rgbColor rgb="FFFEF3C7"/>
      <rgbColor rgb="FFDCFCE7"/>
      <rgbColor rgb="FF660066"/>
      <rgbColor rgb="FFFF8080"/>
      <rgbColor rgb="FF1D4ED8"/>
      <rgbColor rgb="FFCCCCFF"/>
      <rgbColor rgb="FF000080"/>
      <rgbColor rgb="FFFF00FF"/>
      <rgbColor rgb="FFFFFF00"/>
      <rgbColor rgb="FF00FFFF"/>
      <rgbColor rgb="FF800080"/>
      <rgbColor rgb="FF800000"/>
      <rgbColor rgb="FF008080"/>
      <rgbColor rgb="FF0000FF"/>
      <rgbColor rgb="FF00CCFF"/>
      <rgbColor rgb="FFEFF6FF"/>
      <rgbColor rgb="FFE5E7EB"/>
      <rgbColor rgb="FFF7F8FA"/>
      <rgbColor rgb="FF99CCFF"/>
      <rgbColor rgb="FFFF99CC"/>
      <rgbColor rgb="FFCC99FF"/>
      <rgbColor rgb="FFFEE2E2"/>
      <rgbColor rgb="FF2563EB"/>
      <rgbColor rgb="FF33CCCC"/>
      <rgbColor rgb="FF99CC00"/>
      <rgbColor rgb="FFFFCC00"/>
      <rgbColor rgb="FFFF9900"/>
      <rgbColor rgb="FFFF6600"/>
      <rgbColor rgb="FF4B5563"/>
      <rgbColor rgb="FF969696"/>
      <rgbColor rgb="FF003366"/>
      <rgbColor rgb="FF339966"/>
      <rgbColor rgb="FF003300"/>
      <rgbColor rgb="FF333300"/>
      <rgbColor rgb="FFB91C1C"/>
      <rgbColor rgb="FF993366"/>
      <rgbColor rgb="FF333399"/>
      <rgbColor rgb="FF1A1F36"/>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2.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3.v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4.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F36"/>
    <pageSetUpPr fitToPage="true"/>
  </sheetPr>
  <dimension ref="B2:E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32"/>
    <col collapsed="false" customWidth="true" hidden="false" outlineLevel="0" max="3" min="3" style="1" width="34"/>
    <col collapsed="false" customWidth="true" hidden="false" outlineLevel="0" max="4" min="4" style="1" width="44"/>
    <col collapsed="false" customWidth="true" hidden="false" outlineLevel="0" max="5" min="5" style="1" width="40"/>
    <col collapsed="false" customWidth="true" hidden="false" outlineLevel="0" max="6" min="6" style="1" width="2"/>
  </cols>
  <sheetData>
    <row r="2" customFormat="false" ht="15" hidden="false" customHeight="true" outlineLevel="0" collapsed="false">
      <c r="B2" s="2" t="s">
        <v>0</v>
      </c>
    </row>
    <row r="3" customFormat="false" ht="31.5" hidden="false" customHeight="true" outlineLevel="0" collapsed="false">
      <c r="B3" s="3" t="s">
        <v>1</v>
      </c>
      <c r="C3" s="3"/>
      <c r="D3" s="3"/>
      <c r="E3" s="3"/>
    </row>
    <row r="4" customFormat="false" ht="15" hidden="false" customHeight="true" outlineLevel="0" collapsed="false">
      <c r="B4" s="4" t="s">
        <v>2</v>
      </c>
      <c r="C4" s="4"/>
      <c r="D4" s="4"/>
      <c r="E4" s="4"/>
    </row>
    <row r="5" customFormat="false" ht="7.5" hidden="false" customHeight="true" outlineLevel="0" collapsed="false">
      <c r="B5" s="5"/>
      <c r="C5" s="5"/>
      <c r="D5" s="5"/>
      <c r="E5" s="5"/>
    </row>
    <row r="7" customFormat="false" ht="15" hidden="false" customHeight="true" outlineLevel="0" collapsed="false">
      <c r="B7" s="6" t="s">
        <v>3</v>
      </c>
    </row>
    <row r="8" customFormat="false" ht="15" hidden="false" customHeight="true" outlineLevel="0" collapsed="false">
      <c r="B8" s="7" t="s">
        <v>4</v>
      </c>
      <c r="C8" s="7"/>
      <c r="D8" s="7"/>
      <c r="E8" s="7"/>
    </row>
    <row r="9" customFormat="false" ht="30" hidden="false" customHeight="true" outlineLevel="0" collapsed="false">
      <c r="B9" s="7" t="s">
        <v>5</v>
      </c>
      <c r="C9" s="7"/>
      <c r="D9" s="7"/>
      <c r="E9" s="7"/>
    </row>
    <row r="10" customFormat="false" ht="15" hidden="false" customHeight="true" outlineLevel="0" collapsed="false">
      <c r="B10" s="7" t="s">
        <v>6</v>
      </c>
      <c r="C10" s="7"/>
      <c r="D10" s="7"/>
      <c r="E10" s="7"/>
    </row>
    <row r="12" customFormat="false" ht="15" hidden="false" customHeight="true" outlineLevel="0" collapsed="false">
      <c r="B12" s="6" t="s">
        <v>7</v>
      </c>
    </row>
    <row r="13" customFormat="false" ht="15" hidden="false" customHeight="true" outlineLevel="0" collapsed="false">
      <c r="B13" s="7" t="s">
        <v>8</v>
      </c>
      <c r="C13" s="7"/>
      <c r="D13" s="7"/>
      <c r="E13" s="7"/>
    </row>
    <row r="14" customFormat="false" ht="15" hidden="false" customHeight="true" outlineLevel="0" collapsed="false">
      <c r="B14" s="7" t="s">
        <v>9</v>
      </c>
      <c r="C14" s="7"/>
      <c r="D14" s="7"/>
      <c r="E14" s="7"/>
    </row>
    <row r="15" customFormat="false" ht="15" hidden="false" customHeight="true" outlineLevel="0" collapsed="false">
      <c r="B15" s="7" t="s">
        <v>10</v>
      </c>
      <c r="C15" s="7"/>
      <c r="D15" s="7"/>
      <c r="E15" s="7"/>
    </row>
    <row r="16" customFormat="false" ht="15" hidden="false" customHeight="true" outlineLevel="0" collapsed="false">
      <c r="B16" s="7" t="s">
        <v>11</v>
      </c>
      <c r="C16" s="7"/>
      <c r="D16" s="7"/>
      <c r="E16" s="7"/>
    </row>
    <row r="17" customFormat="false" ht="15" hidden="false" customHeight="true" outlineLevel="0" collapsed="false">
      <c r="B17" s="7" t="s">
        <v>12</v>
      </c>
      <c r="C17" s="7"/>
      <c r="D17" s="7"/>
      <c r="E17" s="7"/>
    </row>
    <row r="19" customFormat="false" ht="15" hidden="false" customHeight="true" outlineLevel="0" collapsed="false">
      <c r="B19" s="6" t="s">
        <v>13</v>
      </c>
    </row>
    <row r="20" customFormat="false" ht="21.75" hidden="false" customHeight="true" outlineLevel="0" collapsed="false">
      <c r="B20" s="8" t="s">
        <v>14</v>
      </c>
      <c r="C20" s="8" t="s">
        <v>15</v>
      </c>
      <c r="D20" s="8" t="s">
        <v>16</v>
      </c>
      <c r="E20" s="8" t="s">
        <v>17</v>
      </c>
    </row>
    <row r="21" customFormat="false" ht="45.75" hidden="false" customHeight="true" outlineLevel="0" collapsed="false">
      <c r="B21" s="9" t="s">
        <v>18</v>
      </c>
      <c r="C21" s="10" t="s">
        <v>19</v>
      </c>
      <c r="D21" s="10" t="s">
        <v>20</v>
      </c>
      <c r="E21" s="10" t="s">
        <v>21</v>
      </c>
    </row>
    <row r="22" customFormat="false" ht="45.75" hidden="false" customHeight="true" outlineLevel="0" collapsed="false">
      <c r="B22" s="11" t="s">
        <v>22</v>
      </c>
      <c r="C22" s="12" t="s">
        <v>23</v>
      </c>
      <c r="D22" s="12" t="s">
        <v>24</v>
      </c>
      <c r="E22" s="12" t="s">
        <v>25</v>
      </c>
    </row>
    <row r="23" customFormat="false" ht="45.75" hidden="false" customHeight="true" outlineLevel="0" collapsed="false">
      <c r="B23" s="9" t="s">
        <v>26</v>
      </c>
      <c r="C23" s="10" t="s">
        <v>27</v>
      </c>
      <c r="D23" s="10" t="s">
        <v>28</v>
      </c>
      <c r="E23" s="10" t="s">
        <v>29</v>
      </c>
    </row>
    <row r="24" customFormat="false" ht="45.75" hidden="false" customHeight="true" outlineLevel="0" collapsed="false">
      <c r="B24" s="11" t="s">
        <v>30</v>
      </c>
      <c r="C24" s="12" t="s">
        <v>31</v>
      </c>
      <c r="D24" s="12" t="s">
        <v>32</v>
      </c>
      <c r="E24" s="12" t="s">
        <v>33</v>
      </c>
    </row>
    <row r="25" customFormat="false" ht="45.75" hidden="false" customHeight="true" outlineLevel="0" collapsed="false">
      <c r="B25" s="9" t="s">
        <v>34</v>
      </c>
      <c r="C25" s="10" t="s">
        <v>35</v>
      </c>
      <c r="D25" s="10" t="s">
        <v>36</v>
      </c>
      <c r="E25" s="10" t="s">
        <v>37</v>
      </c>
    </row>
    <row r="26" customFormat="false" ht="45.75" hidden="false" customHeight="true" outlineLevel="0" collapsed="false">
      <c r="B26" s="11" t="s">
        <v>38</v>
      </c>
      <c r="C26" s="12" t="s">
        <v>39</v>
      </c>
      <c r="D26" s="12" t="s">
        <v>40</v>
      </c>
      <c r="E26" s="12" t="s">
        <v>41</v>
      </c>
    </row>
    <row r="27" customFormat="false" ht="45.75" hidden="false" customHeight="true" outlineLevel="0" collapsed="false">
      <c r="B27" s="9" t="s">
        <v>42</v>
      </c>
      <c r="C27" s="10" t="s">
        <v>43</v>
      </c>
      <c r="D27" s="10" t="s">
        <v>44</v>
      </c>
      <c r="E27" s="10" t="s">
        <v>45</v>
      </c>
    </row>
    <row r="28" customFormat="false" ht="45.75" hidden="false" customHeight="true" outlineLevel="0" collapsed="false">
      <c r="B28" s="11" t="s">
        <v>46</v>
      </c>
      <c r="C28" s="12" t="s">
        <v>47</v>
      </c>
      <c r="D28" s="12" t="s">
        <v>48</v>
      </c>
      <c r="E28" s="12" t="s">
        <v>49</v>
      </c>
    </row>
    <row r="29" customFormat="false" ht="45.75" hidden="false" customHeight="true" outlineLevel="0" collapsed="false">
      <c r="B29" s="9" t="s">
        <v>50</v>
      </c>
      <c r="C29" s="10" t="s">
        <v>51</v>
      </c>
      <c r="D29" s="10" t="s">
        <v>52</v>
      </c>
      <c r="E29" s="10" t="s">
        <v>50</v>
      </c>
    </row>
    <row r="31" customFormat="false" ht="15" hidden="false" customHeight="true" outlineLevel="0" collapsed="false">
      <c r="B31" s="6" t="s">
        <v>53</v>
      </c>
    </row>
    <row r="32" customFormat="false" ht="15" hidden="false" customHeight="true" outlineLevel="0" collapsed="false">
      <c r="B32" s="7" t="s">
        <v>54</v>
      </c>
      <c r="C32" s="7"/>
      <c r="D32" s="7"/>
      <c r="E32" s="7"/>
    </row>
    <row r="33" customFormat="false" ht="30" hidden="false" customHeight="true" outlineLevel="0" collapsed="false">
      <c r="B33" s="7" t="s">
        <v>55</v>
      </c>
      <c r="C33" s="7"/>
      <c r="D33" s="7"/>
      <c r="E33" s="7"/>
    </row>
    <row r="34" customFormat="false" ht="15" hidden="false" customHeight="true" outlineLevel="0" collapsed="false">
      <c r="B34" s="7" t="s">
        <v>56</v>
      </c>
      <c r="C34" s="7"/>
      <c r="D34" s="7"/>
      <c r="E34" s="7"/>
    </row>
    <row r="35" customFormat="false" ht="15" hidden="false" customHeight="true" outlineLevel="0" collapsed="false">
      <c r="B35" s="7" t="s">
        <v>57</v>
      </c>
      <c r="C35" s="7"/>
      <c r="D35" s="7"/>
      <c r="E35" s="7"/>
    </row>
    <row r="37" customFormat="false" ht="15" hidden="false" customHeight="true" outlineLevel="0" collapsed="false">
      <c r="B37" s="6" t="s">
        <v>58</v>
      </c>
    </row>
    <row r="38" customFormat="false" ht="15" hidden="false" customHeight="true" outlineLevel="0" collapsed="false">
      <c r="B38" s="7" t="s">
        <v>59</v>
      </c>
      <c r="C38" s="7"/>
      <c r="D38" s="7"/>
      <c r="E38" s="7"/>
    </row>
    <row r="39" customFormat="false" ht="15" hidden="false" customHeight="true" outlineLevel="0" collapsed="false">
      <c r="B39" s="7" t="s">
        <v>60</v>
      </c>
      <c r="C39" s="7"/>
      <c r="D39" s="7"/>
      <c r="E39" s="7"/>
    </row>
    <row r="40" customFormat="false" ht="30" hidden="false" customHeight="true" outlineLevel="0" collapsed="false">
      <c r="B40" s="7" t="s">
        <v>61</v>
      </c>
      <c r="C40" s="7"/>
      <c r="D40" s="7"/>
      <c r="E40" s="7"/>
    </row>
    <row r="41" customFormat="false" ht="30" hidden="false" customHeight="true" outlineLevel="0" collapsed="false">
      <c r="B41" s="7" t="s">
        <v>62</v>
      </c>
      <c r="C41" s="7"/>
      <c r="D41" s="7"/>
      <c r="E41" s="7"/>
    </row>
    <row r="43" customFormat="false" ht="15" hidden="false" customHeight="true" outlineLevel="0" collapsed="false">
      <c r="B43" s="6" t="s">
        <v>63</v>
      </c>
    </row>
    <row r="44" customFormat="false" ht="45" hidden="false" customHeight="true" outlineLevel="0" collapsed="false">
      <c r="B44" s="7" t="s">
        <v>64</v>
      </c>
      <c r="C44" s="7"/>
      <c r="D44" s="7"/>
      <c r="E44" s="7"/>
    </row>
    <row r="45" customFormat="false" ht="30" hidden="false" customHeight="true" outlineLevel="0" collapsed="false">
      <c r="B45" s="7" t="s">
        <v>65</v>
      </c>
      <c r="C45" s="7"/>
      <c r="D45" s="7"/>
      <c r="E45" s="7"/>
    </row>
    <row r="46" customFormat="false" ht="30" hidden="false" customHeight="true" outlineLevel="0" collapsed="false">
      <c r="B46" s="7" t="s">
        <v>66</v>
      </c>
      <c r="C46" s="7"/>
      <c r="D46" s="7"/>
      <c r="E46" s="7"/>
    </row>
    <row r="48" customFormat="false" ht="15" hidden="false" customHeight="true" outlineLevel="0" collapsed="false">
      <c r="B48" s="6" t="s">
        <v>67</v>
      </c>
    </row>
    <row r="49" customFormat="false" ht="15" hidden="false" customHeight="true" outlineLevel="0" collapsed="false">
      <c r="B49" s="7" t="s">
        <v>68</v>
      </c>
      <c r="C49" s="7"/>
      <c r="D49" s="7"/>
      <c r="E49" s="7"/>
    </row>
    <row r="50" customFormat="false" ht="15" hidden="false" customHeight="true" outlineLevel="0" collapsed="false">
      <c r="B50" s="7" t="s">
        <v>69</v>
      </c>
      <c r="C50" s="7"/>
      <c r="D50" s="7"/>
      <c r="E50" s="7"/>
    </row>
    <row r="51" customFormat="false" ht="15" hidden="false" customHeight="true" outlineLevel="0" collapsed="false">
      <c r="B51" s="7" t="s">
        <v>70</v>
      </c>
      <c r="C51" s="7"/>
      <c r="D51" s="7"/>
      <c r="E51" s="7"/>
    </row>
    <row r="52" customFormat="false" ht="15" hidden="false" customHeight="true" outlineLevel="0" collapsed="false">
      <c r="B52" s="7" t="s">
        <v>71</v>
      </c>
      <c r="C52" s="7"/>
      <c r="D52" s="7"/>
      <c r="E52" s="7"/>
    </row>
    <row r="54" customFormat="false" ht="27.75" hidden="false" customHeight="true" outlineLevel="0" collapsed="false">
      <c r="B54" s="13" t="s">
        <v>72</v>
      </c>
      <c r="C54" s="13"/>
      <c r="D54" s="13"/>
      <c r="E54" s="13"/>
    </row>
    <row r="56" customFormat="false" ht="15" hidden="false" customHeight="true" outlineLevel="0" collapsed="false">
      <c r="B56" s="2" t="s">
        <v>73</v>
      </c>
    </row>
    <row r="57" customFormat="false" ht="15" hidden="false" customHeight="true" outlineLevel="0" collapsed="false">
      <c r="B57" s="14" t="s">
        <v>74</v>
      </c>
    </row>
  </sheetData>
  <mergeCells count="26">
    <mergeCell ref="B3:E3"/>
    <mergeCell ref="B4:E4"/>
    <mergeCell ref="B8:E8"/>
    <mergeCell ref="B9:E9"/>
    <mergeCell ref="B10:E10"/>
    <mergeCell ref="B13:E13"/>
    <mergeCell ref="B14:E14"/>
    <mergeCell ref="B15:E15"/>
    <mergeCell ref="B16:E16"/>
    <mergeCell ref="B17:E17"/>
    <mergeCell ref="B32:E32"/>
    <mergeCell ref="B33:E33"/>
    <mergeCell ref="B34:E34"/>
    <mergeCell ref="B35:E35"/>
    <mergeCell ref="B38:E38"/>
    <mergeCell ref="B39:E39"/>
    <mergeCell ref="B40:E40"/>
    <mergeCell ref="B41:E41"/>
    <mergeCell ref="B44:E44"/>
    <mergeCell ref="B45:E45"/>
    <mergeCell ref="B46:E46"/>
    <mergeCell ref="B49:E49"/>
    <mergeCell ref="B50:E50"/>
    <mergeCell ref="B51:E51"/>
    <mergeCell ref="B52:E52"/>
    <mergeCell ref="B54:E54"/>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4ED8"/>
    <pageSetUpPr fitToPage="true"/>
  </sheetPr>
  <dimension ref="B2:H2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30"/>
    <col collapsed="false" customWidth="true" hidden="false" outlineLevel="0" max="3" min="3" style="1" width="24"/>
    <col collapsed="false" customWidth="true" hidden="false" outlineLevel="0" max="4" min="4" style="1" width="23"/>
    <col collapsed="false" customWidth="true" hidden="false" outlineLevel="0" max="5" min="5" style="1" width="12"/>
    <col collapsed="false" customWidth="true" hidden="false" outlineLevel="0" max="7" min="6" style="1" width="13"/>
    <col collapsed="false" customWidth="true" hidden="false" outlineLevel="0" max="8" min="8" style="1" width="52"/>
    <col collapsed="false" customWidth="true" hidden="false" outlineLevel="0" max="9" min="9" style="1" width="2"/>
  </cols>
  <sheetData>
    <row r="2" customFormat="false" ht="15.75" hidden="false" customHeight="true" outlineLevel="0" collapsed="false">
      <c r="B2" s="2" t="s">
        <v>75</v>
      </c>
    </row>
    <row r="3" customFormat="false" ht="31.5" hidden="false" customHeight="true" outlineLevel="0" collapsed="false">
      <c r="B3" s="3" t="str">
        <f aca="false">Targets!$C$5</f>
        <v>Northwind Industries, Legal Department</v>
      </c>
      <c r="C3" s="3"/>
      <c r="D3" s="3"/>
      <c r="E3" s="3"/>
      <c r="F3" s="3"/>
      <c r="G3" s="3"/>
      <c r="H3" s="3"/>
    </row>
    <row r="4" customFormat="false" ht="19.5" hidden="false" customHeight="true" outlineLevel="0" collapsed="false">
      <c r="B4" s="4" t="str">
        <f aca="false">Targets!$C$6&amp;"    ·    One page. Five questions. Eight numbers."</f>
        <v>August 2026    ·    One page. Five questions. Eight numbers.</v>
      </c>
      <c r="C4" s="4"/>
      <c r="D4" s="4"/>
      <c r="E4" s="4"/>
      <c r="F4" s="4"/>
      <c r="G4" s="4"/>
      <c r="H4" s="4"/>
    </row>
    <row r="5" customFormat="false" ht="7.5" hidden="false" customHeight="true" outlineLevel="0" collapsed="false">
      <c r="B5" s="5"/>
      <c r="C5" s="5"/>
      <c r="D5" s="5"/>
      <c r="E5" s="5"/>
      <c r="F5" s="5"/>
      <c r="G5" s="5"/>
      <c r="H5" s="5"/>
    </row>
    <row r="7" customFormat="false" ht="24" hidden="false" customHeight="true" outlineLevel="0" collapsed="false">
      <c r="B7" s="8" t="s">
        <v>76</v>
      </c>
      <c r="C7" s="8" t="s">
        <v>77</v>
      </c>
      <c r="D7" s="8" t="s">
        <v>78</v>
      </c>
      <c r="E7" s="15" t="s">
        <v>79</v>
      </c>
      <c r="F7" s="15" t="s">
        <v>80</v>
      </c>
      <c r="G7" s="15" t="s">
        <v>81</v>
      </c>
      <c r="H7" s="8" t="s">
        <v>82</v>
      </c>
    </row>
    <row r="8" customFormat="false" ht="21.75" hidden="false" customHeight="true" outlineLevel="0" collapsed="false">
      <c r="B8" s="16" t="s">
        <v>83</v>
      </c>
      <c r="C8" s="16"/>
      <c r="D8" s="16"/>
      <c r="E8" s="16"/>
      <c r="F8" s="16"/>
      <c r="G8" s="16"/>
      <c r="H8" s="16"/>
    </row>
    <row r="9" customFormat="false" ht="45.75" hidden="false" customHeight="true" outlineLevel="0" collapsed="false">
      <c r="B9" s="17" t="s">
        <v>84</v>
      </c>
      <c r="C9" s="18" t="str">
        <f aca="false">Targets!$F30</f>
        <v>104 in, 96 cleared</v>
      </c>
      <c r="D9" s="19" t="str">
        <f aca="false">Targets!$I17</f>
        <v>Flat or shrinking. Work in and work out roughly matched.</v>
      </c>
      <c r="E9" s="20" t="str">
        <f aca="false">Targets!$G30</f>
        <v>Watch</v>
      </c>
      <c r="F9" s="20" t="str">
        <f aca="false">Targets!$H30</f>
        <v>Worsening</v>
      </c>
      <c r="G9" s="21" t="str">
        <f aca="false">Targets!$G17</f>
        <v>Measured</v>
      </c>
      <c r="H9" s="22" t="s">
        <v>85</v>
      </c>
    </row>
    <row r="10" customFormat="false" ht="45.75" hidden="false" customHeight="true" outlineLevel="0" collapsed="false">
      <c r="B10" s="23" t="s">
        <v>50</v>
      </c>
      <c r="C10" s="24" t="str">
        <f aca="false">Targets!$F31</f>
        <v>14 traces, prior period 11</v>
      </c>
      <c r="D10" s="25" t="str">
        <f aca="false">Targets!$I18</f>
        <v>Low and falling.</v>
      </c>
      <c r="E10" s="20" t="str">
        <f aca="false">Targets!$G31</f>
        <v>Watch</v>
      </c>
      <c r="F10" s="20" t="str">
        <f aca="false">Targets!$H31</f>
        <v>Worsening</v>
      </c>
      <c r="G10" s="21" t="str">
        <f aca="false">Targets!$G18</f>
        <v>Directional</v>
      </c>
      <c r="H10" s="26" t="s">
        <v>86</v>
      </c>
    </row>
    <row r="11" customFormat="false" ht="21.75" hidden="false" customHeight="true" outlineLevel="0" collapsed="false">
      <c r="B11" s="16" t="s">
        <v>87</v>
      </c>
      <c r="C11" s="16"/>
      <c r="D11" s="16"/>
      <c r="E11" s="16"/>
      <c r="F11" s="16"/>
      <c r="G11" s="16"/>
      <c r="H11" s="16"/>
    </row>
    <row r="12" customFormat="false" ht="45.75" hidden="false" customHeight="true" outlineLevel="0" collapsed="false">
      <c r="B12" s="17" t="s">
        <v>88</v>
      </c>
      <c r="C12" s="18" t="str">
        <f aca="false">Targets!$F32</f>
        <v>1.2 days (target 1.0)</v>
      </c>
      <c r="D12" s="19" t="str">
        <f aca="false">Targets!$I19</f>
        <v>Inside the response time you promised the business, and consistent.</v>
      </c>
      <c r="E12" s="20" t="str">
        <f aca="false">Targets!$G32</f>
        <v>Watch</v>
      </c>
      <c r="F12" s="20" t="str">
        <f aca="false">Targets!$H32</f>
        <v>Flat</v>
      </c>
      <c r="G12" s="21" t="str">
        <f aca="false">Targets!$G19</f>
        <v>Measured</v>
      </c>
      <c r="H12" s="22" t="s">
        <v>89</v>
      </c>
    </row>
    <row r="13" customFormat="false" ht="45.75" hidden="false" customHeight="true" outlineLevel="0" collapsed="false">
      <c r="B13" s="23" t="s">
        <v>90</v>
      </c>
      <c r="C13" s="24" t="str">
        <f aca="false">Targets!$F33</f>
        <v>9% of project matters</v>
      </c>
      <c r="D13" s="25" t="str">
        <f aca="false">Targets!$I20</f>
        <v>Low and steady.</v>
      </c>
      <c r="E13" s="20" t="str">
        <f aca="false">Targets!$G33</f>
        <v>On track</v>
      </c>
      <c r="F13" s="20" t="str">
        <f aca="false">Targets!$H33</f>
        <v>Improving</v>
      </c>
      <c r="G13" s="21" t="str">
        <f aca="false">Targets!$G20</f>
        <v>Measured</v>
      </c>
      <c r="H13" s="26" t="s">
        <v>91</v>
      </c>
    </row>
    <row r="14" customFormat="false" ht="21.75" hidden="false" customHeight="true" outlineLevel="0" collapsed="false">
      <c r="B14" s="16" t="s">
        <v>92</v>
      </c>
      <c r="C14" s="16"/>
      <c r="D14" s="16"/>
      <c r="E14" s="16"/>
      <c r="F14" s="16"/>
      <c r="G14" s="16"/>
      <c r="H14" s="16"/>
    </row>
    <row r="15" customFormat="false" ht="45.75" hidden="false" customHeight="true" outlineLevel="0" collapsed="false">
      <c r="B15" s="17" t="s">
        <v>41</v>
      </c>
      <c r="C15" s="18" t="str">
        <f aca="false">Targets!$F34</f>
        <v>100% owned, 2 at risk</v>
      </c>
      <c r="D15" s="19" t="str">
        <f aca="false">Targets!$I21</f>
        <v>Every date owned. Zero missed. At-risk count low and shrinking.</v>
      </c>
      <c r="E15" s="20" t="str">
        <f aca="false">Targets!$G34</f>
        <v>Watch</v>
      </c>
      <c r="F15" s="20" t="str">
        <f aca="false">Targets!$H34</f>
        <v>Flat</v>
      </c>
      <c r="G15" s="21" t="str">
        <f aca="false">Targets!$G21</f>
        <v>Measured</v>
      </c>
      <c r="H15" s="22" t="s">
        <v>93</v>
      </c>
    </row>
    <row r="16" customFormat="false" ht="21.75" hidden="false" customHeight="true" outlineLevel="0" collapsed="false">
      <c r="B16" s="16" t="s">
        <v>94</v>
      </c>
      <c r="C16" s="16"/>
      <c r="D16" s="16"/>
      <c r="E16" s="16"/>
      <c r="F16" s="16"/>
      <c r="G16" s="16"/>
      <c r="H16" s="16"/>
    </row>
    <row r="17" customFormat="false" ht="45.75" hidden="false" customHeight="true" outlineLevel="0" collapsed="false">
      <c r="B17" s="23" t="s">
        <v>95</v>
      </c>
      <c r="C17" s="24" t="str">
        <f aca="false">Targets!$F35</f>
        <v>38% of requests</v>
      </c>
      <c r="D17" s="25" t="str">
        <f aca="false">Targets!$I22</f>
        <v>Rising over time against your own baseline.</v>
      </c>
      <c r="E17" s="20" t="str">
        <f aca="false">Targets!$G35</f>
        <v>On track</v>
      </c>
      <c r="F17" s="20" t="str">
        <f aca="false">Targets!$H35</f>
        <v>Improving</v>
      </c>
      <c r="G17" s="21" t="str">
        <f aca="false">Targets!$G22</f>
        <v>Measured</v>
      </c>
      <c r="H17" s="26" t="s">
        <v>96</v>
      </c>
    </row>
    <row r="18" customFormat="false" ht="45.75" hidden="false" customHeight="true" outlineLevel="0" collapsed="false">
      <c r="B18" s="17" t="s">
        <v>49</v>
      </c>
      <c r="C18" s="18" t="str">
        <f aca="false">Targets!$F36</f>
        <v>22.0 each across 8 in-house lawyers</v>
      </c>
      <c r="D18" s="19" t="str">
        <f aca="false">Targets!$I23</f>
        <v>Stable and manageable.</v>
      </c>
      <c r="E18" s="20" t="str">
        <f aca="false">Targets!$G36</f>
        <v>Watch</v>
      </c>
      <c r="F18" s="20" t="str">
        <f aca="false">Targets!$H36</f>
        <v>Worsening</v>
      </c>
      <c r="G18" s="21" t="str">
        <f aca="false">Targets!$G23</f>
        <v>Proxy</v>
      </c>
      <c r="H18" s="22" t="s">
        <v>97</v>
      </c>
    </row>
    <row r="19" customFormat="false" ht="21.75" hidden="false" customHeight="true" outlineLevel="0" collapsed="false">
      <c r="B19" s="16" t="s">
        <v>98</v>
      </c>
      <c r="C19" s="16"/>
      <c r="D19" s="16"/>
      <c r="E19" s="16"/>
      <c r="F19" s="16"/>
      <c r="G19" s="16"/>
      <c r="H19" s="16"/>
    </row>
    <row r="20" customFormat="false" ht="45.75" hidden="false" customHeight="true" outlineLevel="0" collapsed="false">
      <c r="B20" s="23" t="s">
        <v>99</v>
      </c>
      <c r="C20" s="24" t="str">
        <f aca="false">Targets!$F37</f>
        <v>68% used, forecast 4% over</v>
      </c>
      <c r="D20" s="25" t="str">
        <f aca="false">Targets!$I24</f>
        <v>On or under plan, with the forecast holding.</v>
      </c>
      <c r="E20" s="20" t="str">
        <f aca="false">Targets!$G37</f>
        <v>Off</v>
      </c>
      <c r="F20" s="20" t="str">
        <f aca="false">Targets!$H37</f>
        <v>Worsening</v>
      </c>
      <c r="G20" s="21" t="str">
        <f aca="false">Targets!$G24</f>
        <v>Measured</v>
      </c>
      <c r="H20" s="26" t="s">
        <v>100</v>
      </c>
    </row>
    <row r="22" customFormat="false" ht="15.75" hidden="false" customHeight="true" outlineLevel="0" collapsed="false">
      <c r="B22" s="27" t="s">
        <v>101</v>
      </c>
      <c r="C22" s="27"/>
      <c r="D22" s="27"/>
      <c r="E22" s="27"/>
      <c r="F22" s="27"/>
      <c r="G22" s="27"/>
      <c r="H22" s="27"/>
    </row>
    <row r="23" customFormat="false" ht="15.75" hidden="false" customHeight="true" outlineLevel="0" collapsed="false">
      <c r="B23" s="28" t="str">
        <f aca="false">"Capacity basis: "&amp;IF(Targets!$C$13="Yes","outside-provider lawyers are counted in load per lawyer. ","outside-provider lawyers are excluded from load per lawyer. ")&amp;Targets!$C$42&amp;" outside providers carry "&amp;Targets!$C$44&amp;" open matters this period. "&amp;IF(Targets!$C$13="Yes","On our own team alone it reads "&amp;TEXT(Targets!$C$45,"0.0")&amp;" each.","Counting them it would read "&amp;TEXT(Targets!$C$46,"0.0")&amp;" each.")</f>
        <v>Capacity basis: outside-provider lawyers are excluded from load per lawyer. 3 outside providers carry 10 open matters this period. Counting them it would read 16.9 each.</v>
      </c>
      <c r="C23" s="28"/>
      <c r="D23" s="28"/>
      <c r="E23" s="28"/>
      <c r="F23" s="28"/>
      <c r="G23" s="28"/>
      <c r="H23" s="28"/>
    </row>
    <row r="24" customFormat="false" ht="15" hidden="false" customHeight="true" outlineLevel="0" collapsed="false">
      <c r="B24" s="29" t="str">
        <f aca="false">"Prepared by "&amp;Targets!$C$10&amp;"    ·    Period "&amp;TEXT(Targets!$C$7,"yyyy-mm-dd")&amp;" to "&amp;TEXT(Targets!$C$8,"yyyy-mm-dd")&amp;"    ·    Track C: one workbook, one monthly routine."</f>
        <v>Prepared by [Your name]    ·    Period 2026-08-01 to 2026-08-31    ·    Track C: one workbook, one monthly routine.</v>
      </c>
      <c r="C24" s="29"/>
      <c r="D24" s="29"/>
      <c r="E24" s="29"/>
      <c r="F24" s="29"/>
      <c r="G24" s="29"/>
      <c r="H24" s="29"/>
    </row>
    <row r="26" customFormat="false" ht="15" hidden="false" customHeight="true" outlineLevel="0" collapsed="false">
      <c r="B26" s="30" t="s">
        <v>73</v>
      </c>
    </row>
  </sheetData>
  <mergeCells count="10">
    <mergeCell ref="B3:H3"/>
    <mergeCell ref="B4:H4"/>
    <mergeCell ref="B8:H8"/>
    <mergeCell ref="B11:H11"/>
    <mergeCell ref="B14:H14"/>
    <mergeCell ref="B16:H16"/>
    <mergeCell ref="B19:H19"/>
    <mergeCell ref="B22:H22"/>
    <mergeCell ref="B23:H23"/>
    <mergeCell ref="B24:H24"/>
  </mergeCells>
  <conditionalFormatting sqref="E9:E20">
    <cfRule type="cellIs" priority="2" operator="equal" aboveAverage="0" equalAverage="0" bottom="0" percent="0" rank="0" text="" dxfId="0">
      <formula>"On track"</formula>
    </cfRule>
    <cfRule type="cellIs" priority="3" operator="equal" aboveAverage="0" equalAverage="0" bottom="0" percent="0" rank="0" text="" dxfId="1">
      <formula>"Watch"</formula>
    </cfRule>
    <cfRule type="cellIs" priority="4" operator="equal" aboveAverage="0" equalAverage="0" bottom="0" percent="0" rank="0" text="" dxfId="2">
      <formula>"Off"</formula>
    </cfRule>
  </conditionalFormatting>
  <conditionalFormatting sqref="F9:F20">
    <cfRule type="cellIs" priority="5" operator="equal" aboveAverage="0" equalAverage="0" bottom="0" percent="0" rank="0" text="" dxfId="3">
      <formula>"Improving"</formula>
    </cfRule>
    <cfRule type="cellIs" priority="6" operator="equal" aboveAverage="0" equalAverage="0" bottom="0" percent="0" rank="0" text="" dxfId="4">
      <formula>"Worsening"</formula>
    </cfRule>
    <cfRule type="cellIs" priority="7" operator="equal" aboveAverage="0" equalAverage="0" bottom="0" percent="0" rank="0" text="" dxfId="5">
      <formula>"Flat"</formula>
    </cfRule>
  </conditionalFormatting>
  <conditionalFormatting sqref="G9:G20">
    <cfRule type="cellIs" priority="8" operator="equal" aboveAverage="0" equalAverage="0" bottom="0" percent="0" rank="0" text="" dxfId="6">
      <formula>"Proxy"</formula>
    </cfRule>
    <cfRule type="cellIs" priority="9" operator="equal" aboveAverage="0" equalAverage="0" bottom="0" percent="0" rank="0" text="" dxfId="6">
      <formula>"Directional"</formula>
    </cfRule>
  </conditionalFormatting>
  <printOptions headings="false" gridLines="false" gridLinesSet="true" horizontalCentered="false" verticalCentered="false"/>
  <pageMargins left="0.4" right="0.4" top="0.4" bottom="0.4"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563EB"/>
    <pageSetUpPr fitToPage="true"/>
  </sheetPr>
  <dimension ref="B1:I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42"/>
    <col collapsed="false" customWidth="true" hidden="false" outlineLevel="0" max="3" min="3" style="1" width="17"/>
    <col collapsed="false" customWidth="true" hidden="false" outlineLevel="0" max="4" min="4" style="1" width="14"/>
    <col collapsed="false" customWidth="true" hidden="false" outlineLevel="0" max="5" min="5" style="1" width="18"/>
    <col collapsed="false" customWidth="true" hidden="false" outlineLevel="0" max="6" min="6" style="1" width="20"/>
    <col collapsed="false" customWidth="true" hidden="false" outlineLevel="0" max="7" min="7" style="1" width="14"/>
    <col collapsed="false" customWidth="true" hidden="false" outlineLevel="0" max="8" min="8" style="1" width="15"/>
    <col collapsed="false" customWidth="true" hidden="false" outlineLevel="0" max="9" min="9" style="1" width="46"/>
  </cols>
  <sheetData>
    <row r="1" customFormat="false" ht="21.75" hidden="false" customHeight="true" outlineLevel="0" collapsed="false">
      <c r="B1" s="31" t="s">
        <v>102</v>
      </c>
    </row>
    <row r="2" customFormat="false" ht="15" hidden="false" customHeight="true" outlineLevel="0" collapsed="false">
      <c r="B2" s="32" t="s">
        <v>103</v>
      </c>
    </row>
    <row r="4" customFormat="false" ht="15" hidden="false" customHeight="true" outlineLevel="0" collapsed="false">
      <c r="B4" s="2" t="s">
        <v>104</v>
      </c>
      <c r="E4" s="33" t="s">
        <v>105</v>
      </c>
    </row>
    <row r="5" customFormat="false" ht="15" hidden="false" customHeight="true" outlineLevel="0" collapsed="false">
      <c r="B5" s="34" t="s">
        <v>106</v>
      </c>
      <c r="C5" s="35" t="s">
        <v>107</v>
      </c>
      <c r="D5" s="35"/>
      <c r="E5" s="35"/>
    </row>
    <row r="6" customFormat="false" ht="15" hidden="false" customHeight="true" outlineLevel="0" collapsed="false">
      <c r="B6" s="34" t="s">
        <v>108</v>
      </c>
      <c r="C6" s="36" t="s">
        <v>109</v>
      </c>
    </row>
    <row r="7" customFormat="false" ht="15" hidden="false" customHeight="true" outlineLevel="0" collapsed="false">
      <c r="B7" s="34" t="s">
        <v>110</v>
      </c>
      <c r="C7" s="37" t="n">
        <v>46235</v>
      </c>
    </row>
    <row r="8" customFormat="false" ht="15" hidden="false" customHeight="true" outlineLevel="0" collapsed="false">
      <c r="B8" s="34" t="s">
        <v>111</v>
      </c>
      <c r="C8" s="37" t="n">
        <v>46265</v>
      </c>
    </row>
    <row r="9" customFormat="false" ht="15" hidden="false" customHeight="true" outlineLevel="0" collapsed="false">
      <c r="B9" s="34" t="s">
        <v>112</v>
      </c>
      <c r="C9" s="38" t="n">
        <v>8</v>
      </c>
      <c r="D9" s="33" t="s">
        <v>113</v>
      </c>
    </row>
    <row r="10" customFormat="false" ht="15" hidden="false" customHeight="true" outlineLevel="0" collapsed="false">
      <c r="B10" s="34" t="s">
        <v>114</v>
      </c>
      <c r="C10" s="36" t="s">
        <v>115</v>
      </c>
    </row>
    <row r="11" customFormat="false" ht="15" hidden="false" customHeight="true" outlineLevel="0" collapsed="false">
      <c r="B11" s="34" t="s">
        <v>116</v>
      </c>
      <c r="C11" s="38" t="n">
        <v>14</v>
      </c>
      <c r="D11" s="33" t="s">
        <v>117</v>
      </c>
    </row>
    <row r="12" customFormat="false" ht="15" hidden="false" customHeight="true" outlineLevel="0" collapsed="false">
      <c r="B12" s="34" t="s">
        <v>118</v>
      </c>
      <c r="C12" s="38" t="n">
        <v>30</v>
      </c>
      <c r="D12" s="33" t="s">
        <v>119</v>
      </c>
    </row>
    <row r="13" customFormat="false" ht="15" hidden="false" customHeight="true" outlineLevel="0" collapsed="false">
      <c r="B13" s="34" t="s">
        <v>120</v>
      </c>
      <c r="C13" s="36" t="s">
        <v>121</v>
      </c>
      <c r="D13" s="33" t="s">
        <v>122</v>
      </c>
    </row>
    <row r="14" customFormat="false" ht="15" hidden="false" customHeight="true" outlineLevel="0" collapsed="false">
      <c r="B14" s="2" t="s">
        <v>123</v>
      </c>
      <c r="C14" s="33" t="s">
        <v>124</v>
      </c>
    </row>
    <row r="16" customFormat="false" ht="27.75" hidden="false" customHeight="true" outlineLevel="0" collapsed="false">
      <c r="B16" s="8" t="s">
        <v>125</v>
      </c>
      <c r="C16" s="15" t="s">
        <v>126</v>
      </c>
      <c r="D16" s="15" t="s">
        <v>127</v>
      </c>
      <c r="E16" s="15" t="s">
        <v>128</v>
      </c>
      <c r="F16" s="15" t="s">
        <v>129</v>
      </c>
      <c r="G16" s="15" t="s">
        <v>81</v>
      </c>
      <c r="H16" s="15" t="s">
        <v>130</v>
      </c>
      <c r="I16" s="15" t="s">
        <v>78</v>
      </c>
    </row>
    <row r="17" customFormat="false" ht="25.5" hidden="false" customHeight="true" outlineLevel="0" collapsed="false">
      <c r="B17" s="39" t="s">
        <v>84</v>
      </c>
      <c r="C17" s="40" t="n">
        <v>0.95</v>
      </c>
      <c r="D17" s="40" t="n">
        <v>0.05</v>
      </c>
      <c r="E17" s="41" t="s">
        <v>131</v>
      </c>
      <c r="F17" s="40" t="n">
        <v>0.02</v>
      </c>
      <c r="G17" s="41" t="s">
        <v>132</v>
      </c>
      <c r="H17" s="40" t="n">
        <v>0.96</v>
      </c>
      <c r="I17" s="10" t="s">
        <v>133</v>
      </c>
    </row>
    <row r="18" customFormat="false" ht="25.5" hidden="false" customHeight="true" outlineLevel="0" collapsed="false">
      <c r="B18" s="42" t="s">
        <v>50</v>
      </c>
      <c r="C18" s="43" t="n">
        <v>10</v>
      </c>
      <c r="D18" s="43" t="n">
        <v>5</v>
      </c>
      <c r="E18" s="41" t="s">
        <v>134</v>
      </c>
      <c r="F18" s="43" t="n">
        <v>1</v>
      </c>
      <c r="G18" s="41" t="s">
        <v>135</v>
      </c>
      <c r="H18" s="43" t="n">
        <v>11</v>
      </c>
      <c r="I18" s="12" t="s">
        <v>136</v>
      </c>
    </row>
    <row r="19" customFormat="false" ht="25.5" hidden="false" customHeight="true" outlineLevel="0" collapsed="false">
      <c r="B19" s="39" t="s">
        <v>88</v>
      </c>
      <c r="C19" s="44" t="n">
        <v>1</v>
      </c>
      <c r="D19" s="44" t="n">
        <v>0.5</v>
      </c>
      <c r="E19" s="41" t="s">
        <v>134</v>
      </c>
      <c r="F19" s="44" t="n">
        <v>0.1</v>
      </c>
      <c r="G19" s="41" t="s">
        <v>132</v>
      </c>
      <c r="H19" s="44" t="n">
        <v>1.2</v>
      </c>
      <c r="I19" s="10" t="s">
        <v>137</v>
      </c>
    </row>
    <row r="20" customFormat="false" ht="25.5" hidden="false" customHeight="true" outlineLevel="0" collapsed="false">
      <c r="B20" s="42" t="s">
        <v>90</v>
      </c>
      <c r="C20" s="45" t="n">
        <v>0.1</v>
      </c>
      <c r="D20" s="45" t="n">
        <v>0.05</v>
      </c>
      <c r="E20" s="41" t="s">
        <v>134</v>
      </c>
      <c r="F20" s="45" t="n">
        <v>0.01</v>
      </c>
      <c r="G20" s="41" t="s">
        <v>132</v>
      </c>
      <c r="H20" s="45" t="n">
        <v>0.12</v>
      </c>
      <c r="I20" s="12" t="s">
        <v>138</v>
      </c>
    </row>
    <row r="21" customFormat="false" ht="25.5" hidden="false" customHeight="true" outlineLevel="0" collapsed="false">
      <c r="B21" s="39" t="s">
        <v>41</v>
      </c>
      <c r="C21" s="43" t="n">
        <v>0</v>
      </c>
      <c r="D21" s="43" t="n">
        <v>2</v>
      </c>
      <c r="E21" s="41" t="s">
        <v>134</v>
      </c>
      <c r="F21" s="43" t="n">
        <v>0</v>
      </c>
      <c r="G21" s="41" t="s">
        <v>132</v>
      </c>
      <c r="H21" s="43" t="n">
        <v>2</v>
      </c>
      <c r="I21" s="10" t="s">
        <v>139</v>
      </c>
    </row>
    <row r="22" customFormat="false" ht="25.5" hidden="false" customHeight="true" outlineLevel="0" collapsed="false">
      <c r="B22" s="42" t="s">
        <v>95</v>
      </c>
      <c r="C22" s="45" t="n">
        <v>0.35</v>
      </c>
      <c r="D22" s="45" t="n">
        <v>0.05</v>
      </c>
      <c r="E22" s="41" t="s">
        <v>131</v>
      </c>
      <c r="F22" s="45" t="n">
        <v>0.01</v>
      </c>
      <c r="G22" s="41" t="s">
        <v>132</v>
      </c>
      <c r="H22" s="45" t="n">
        <v>0.34</v>
      </c>
      <c r="I22" s="12" t="s">
        <v>140</v>
      </c>
    </row>
    <row r="23" customFormat="false" ht="25.5" hidden="false" customHeight="true" outlineLevel="0" collapsed="false">
      <c r="B23" s="39" t="s">
        <v>49</v>
      </c>
      <c r="C23" s="44" t="n">
        <v>20</v>
      </c>
      <c r="D23" s="44" t="n">
        <v>3</v>
      </c>
      <c r="E23" s="41" t="s">
        <v>134</v>
      </c>
      <c r="F23" s="44" t="n">
        <v>0.5</v>
      </c>
      <c r="G23" s="41" t="s">
        <v>141</v>
      </c>
      <c r="H23" s="44" t="n">
        <v>20.5</v>
      </c>
      <c r="I23" s="10" t="s">
        <v>142</v>
      </c>
    </row>
    <row r="24" customFormat="false" ht="25.5" hidden="false" customHeight="true" outlineLevel="0" collapsed="false">
      <c r="B24" s="42" t="s">
        <v>99</v>
      </c>
      <c r="C24" s="46" t="n">
        <v>0</v>
      </c>
      <c r="D24" s="46" t="n">
        <v>0.03</v>
      </c>
      <c r="E24" s="41" t="s">
        <v>134</v>
      </c>
      <c r="F24" s="46" t="n">
        <v>0.005</v>
      </c>
      <c r="G24" s="41" t="s">
        <v>132</v>
      </c>
      <c r="H24" s="46" t="n">
        <v>0.015</v>
      </c>
      <c r="I24" s="12" t="s">
        <v>143</v>
      </c>
    </row>
    <row r="25" customFormat="false" ht="15" hidden="false" customHeight="true" outlineLevel="0" collapsed="false">
      <c r="B25" s="47" t="s">
        <v>144</v>
      </c>
      <c r="C25" s="47"/>
      <c r="D25" s="47"/>
      <c r="E25" s="47"/>
      <c r="F25" s="47"/>
      <c r="G25" s="47"/>
      <c r="H25" s="47"/>
      <c r="I25" s="47"/>
    </row>
    <row r="28" customFormat="false" ht="15" hidden="false" customHeight="true" outlineLevel="0" collapsed="false">
      <c r="B28" s="48" t="s">
        <v>145</v>
      </c>
    </row>
    <row r="29" customFormat="false" ht="27.75" hidden="false" customHeight="true" outlineLevel="0" collapsed="false">
      <c r="B29" s="49" t="s">
        <v>125</v>
      </c>
      <c r="C29" s="50" t="s">
        <v>146</v>
      </c>
      <c r="D29" s="50" t="s">
        <v>147</v>
      </c>
      <c r="E29" s="50" t="s">
        <v>148</v>
      </c>
      <c r="F29" s="50" t="s">
        <v>77</v>
      </c>
      <c r="G29" s="50" t="s">
        <v>79</v>
      </c>
      <c r="H29" s="50" t="s">
        <v>80</v>
      </c>
    </row>
    <row r="30" customFormat="false" ht="15" hidden="false" customHeight="true" outlineLevel="0" collapsed="false">
      <c r="B30" s="34" t="s">
        <v>84</v>
      </c>
      <c r="C30" s="51" t="n">
        <f aca="false">IF($D30=0,"",$E30/$D30)</f>
        <v>0.923076923076923</v>
      </c>
      <c r="D30" s="52" t="n">
        <f aca="false">COUNTIFS(Matters!$O$6:$O$604,"Yes",Matters!$F$6:$F$604,"&lt;&gt;Portfolio",Matters!$F$6:$F$604,"&lt;&gt;Advice")</f>
        <v>104</v>
      </c>
      <c r="E30" s="52" t="n">
        <f aca="false">COUNTIFS(Matters!$P$6:$P$604,"Yes",Matters!$F$6:$F$604,"&lt;&gt;Portfolio",Matters!$F$6:$F$604,"&lt;&gt;Advice")</f>
        <v>96</v>
      </c>
      <c r="F30" s="53" t="str">
        <f aca="false">IF($D30="","",$D30&amp;" in, "&amp;$E30&amp;" cleared")</f>
        <v>104 in, 96 cleared</v>
      </c>
      <c r="G30" s="54" t="str">
        <f aca="false">IF($C30="","",IF($E17="Lower is better",IF($C30&lt;=$C17,"On track",IF($C30&lt;=$C17+$D17,"Watch","Off")),IF($C30&gt;=$C17,"On track",IF($C30&gt;=$C17-$D17,"Watch","Off"))))</f>
        <v>Watch</v>
      </c>
      <c r="H30" s="54" t="str">
        <f aca="false">IF(OR($C30="",$H17=""),"n/a",IF(ABS($C30-$H17)&lt;=$F17,"Flat",IF(OR(AND($E17="Higher is better",$C30&gt;$H17),AND($E17="Lower is better",$C30&lt;$H17)),"Improving","Worsening")))</f>
        <v>Worsening</v>
      </c>
    </row>
    <row r="31" customFormat="false" ht="15" hidden="false" customHeight="true" outlineLevel="0" collapsed="false">
      <c r="B31" s="34" t="s">
        <v>50</v>
      </c>
      <c r="C31" s="52" t="n">
        <f aca="false">$D31</f>
        <v>14</v>
      </c>
      <c r="D31" s="52" t="n">
        <f aca="false">SUM('Shadow demand'!$D$6:$D24)</f>
        <v>14</v>
      </c>
      <c r="E31" s="52" t="n">
        <f aca="false">SUM('Shadow demand'!$E$6:$E24)</f>
        <v>11</v>
      </c>
      <c r="F31" s="53" t="str">
        <f aca="false">IF($D31="","",$D31&amp;" traces, prior period "&amp;$E31)</f>
        <v>14 traces, prior period 11</v>
      </c>
      <c r="G31" s="54" t="str">
        <f aca="false">IF($C31="","",IF($E18="Lower is better",IF($C31&lt;=$C18,"On track",IF($C31&lt;=$C18+$D18,"Watch","Off")),IF($C31&gt;=$C18,"On track",IF($C31&gt;=$C18-$D18,"Watch","Off"))))</f>
        <v>Watch</v>
      </c>
      <c r="H31" s="54" t="str">
        <f aca="false">IF(OR($C31="",$H18=""),"n/a",IF(ABS($C31-$H18)&lt;=$F18,"Flat",IF(OR(AND($E18="Higher is better",$C31&gt;$H18),AND($E18="Lower is better",$C31&lt;$H18)),"Improving","Worsening")))</f>
        <v>Worsening</v>
      </c>
    </row>
    <row r="32" customFormat="false" ht="15" hidden="false" customHeight="true" outlineLevel="0" collapsed="false">
      <c r="B32" s="34" t="s">
        <v>88</v>
      </c>
      <c r="C32" s="55" t="n">
        <f aca="false">$D32</f>
        <v>1.2</v>
      </c>
      <c r="D32" s="55" t="n">
        <f aca="false">IFERROR(MEDIAN(Requests!$K$6:$K404),"")</f>
        <v>1.2</v>
      </c>
      <c r="E32" s="52"/>
      <c r="F32" s="53" t="str">
        <f aca="false">IF($C32="","",TEXT($C32,"0.0")&amp;" days (target "&amp;TEXT($C19,"0.0")&amp;")")</f>
        <v>1.2 days (target 1.0)</v>
      </c>
      <c r="G32" s="54" t="str">
        <f aca="false">IF($C32="","",IF($E19="Lower is better",IF($C32&lt;=$C19,"On track",IF($C32&lt;=$C19+$D19,"Watch","Off")),IF($C32&gt;=$C19,"On track",IF($C32&gt;=$C19-$D19,"Watch","Off"))))</f>
        <v>Watch</v>
      </c>
      <c r="H32" s="54" t="str">
        <f aca="false">IF(OR($C32="",$H19=""),"n/a",IF(ABS($C32-$H19)&lt;=$F19,"Flat",IF(OR(AND($E19="Higher is better",$C32&gt;$H19),AND($E19="Lower is better",$C32&lt;$H19)),"Improving","Worsening")))</f>
        <v>Flat</v>
      </c>
    </row>
    <row r="33" customFormat="false" ht="15" hidden="false" customHeight="true" outlineLevel="0" collapsed="false">
      <c r="B33" s="34" t="s">
        <v>90</v>
      </c>
      <c r="C33" s="56" t="n">
        <f aca="false">IF($E33=0,"",$D33/$E33)</f>
        <v>0.0902777777777778</v>
      </c>
      <c r="D33" s="52" t="n">
        <f aca="false">COUNTIF(Matters!$N$6:$N604,"Yes")</f>
        <v>13</v>
      </c>
      <c r="E33" s="52" t="n">
        <f aca="false">COUNTIF(Matters!$Q$6:$Q604,"Yes")</f>
        <v>144</v>
      </c>
      <c r="F33" s="53" t="str">
        <f aca="false">IF($C33="","",TEXT($C33,"0%")&amp;" of project matters")</f>
        <v>9% of project matters</v>
      </c>
      <c r="G33" s="54" t="str">
        <f aca="false">IF($C33="","",IF($E20="Lower is better",IF($C33&lt;=$C20,"On track",IF($C33&lt;=$C20+$D20,"Watch","Off")),IF($C33&gt;=$C20,"On track",IF($C33&gt;=$C20-$D20,"Watch","Off"))))</f>
        <v>On track</v>
      </c>
      <c r="H33" s="54" t="str">
        <f aca="false">IF(OR($C33="",$H20=""),"n/a",IF(ABS($C33-$H20)&lt;=$F20,"Flat",IF(OR(AND($E20="Higher is better",$C33&gt;$H20),AND($E20="Lower is better",$C33&lt;$H20)),"Improving","Worsening")))</f>
        <v>Improving</v>
      </c>
    </row>
    <row r="34" customFormat="false" ht="15" hidden="false" customHeight="true" outlineLevel="0" collapsed="false">
      <c r="B34" s="34" t="s">
        <v>41</v>
      </c>
      <c r="C34" s="52" t="n">
        <f aca="false">COUNTIF('Critical dates'!$F$6:$F154,"At risk")+COUNTIF('Critical dates'!$F$6:$F154,"Missed")</f>
        <v>2</v>
      </c>
      <c r="D34" s="56" t="n">
        <f aca="false">IF($E34=0,"",COUNTIF('Critical dates'!$I$6:$I154,"Yes")/$E34)</f>
        <v>1</v>
      </c>
      <c r="E34" s="52" t="n">
        <f aca="false">COUNTIF('Critical dates'!$I$6:$I154,"Yes")+COUNTIF('Critical dates'!$I$6:$I154,"No")</f>
        <v>48</v>
      </c>
      <c r="F34" s="53" t="str">
        <f aca="false">IF($E34=0,"",TEXT($D34,"0%")&amp;" owned, "&amp;COUNTIF('Critical dates'!$F$6:$F154,"At risk")&amp;" at risk"&amp;IF(COUNTIF('Critical dates'!$F$6:$F154,"Missed")=0,"",", "&amp;COUNTIF('Critical dates'!$F$6:$F154,"Missed")&amp;" MISSED"))</f>
        <v>100% owned, 2 at risk</v>
      </c>
      <c r="G34" s="54" t="str">
        <f aca="false">IF(COUNTIF('Critical dates'!$F$6:$F154,"Missed")&gt;0,"Off",IF($C34="","",IF($E21="Lower is better",IF($C34&lt;=$C21,"On track",IF($C34&lt;=$C21+$D21,"Watch","Off")),IF($C34&gt;=$C21,"On track",IF($C34&gt;=$C21-$D21,"Watch","Off")))))</f>
        <v>Watch</v>
      </c>
      <c r="H34" s="54" t="str">
        <f aca="false">IF(OR($C34="",$H21=""),"n/a",IF(ABS($C34-$H21)&lt;=$F21,"Flat",IF(OR(AND($E21="Higher is better",$C34&gt;$H21),AND($E21="Lower is better",$C34&lt;$H21)),"Improving","Worsening")))</f>
        <v>Flat</v>
      </c>
    </row>
    <row r="35" customFormat="false" ht="15" hidden="false" customHeight="true" outlineLevel="0" collapsed="false">
      <c r="B35" s="34" t="s">
        <v>95</v>
      </c>
      <c r="C35" s="56" t="n">
        <f aca="false">IF($E35=0,"",$D35/$E35)</f>
        <v>0.383333333333333</v>
      </c>
      <c r="D35" s="52" t="n">
        <f aca="false">COUNTIFS(Requests!$J$6:$J404,"Yes",Requests!$D$6:$D404,"Self-serve")</f>
        <v>46</v>
      </c>
      <c r="E35" s="52" t="n">
        <f aca="false">COUNTIF(Requests!$J$6:$J404,"Yes")</f>
        <v>120</v>
      </c>
      <c r="F35" s="53" t="str">
        <f aca="false">IF($C35="","",TEXT($C35,"0%")&amp;" of requests")</f>
        <v>38% of requests</v>
      </c>
      <c r="G35" s="54" t="str">
        <f aca="false">IF($C35="","",IF($E22="Lower is better",IF($C35&lt;=$C22,"On track",IF($C35&lt;=$C22+$D22,"Watch","Off")),IF($C35&gt;=$C22,"On track",IF($C35&gt;=$C22-$D22,"Watch","Off"))))</f>
        <v>On track</v>
      </c>
      <c r="H35" s="54" t="str">
        <f aca="false">IF(OR($C35="",$H22=""),"n/a",IF(ABS($C35-$H22)&lt;=$F22,"Flat",IF(OR(AND($E22="Higher is better",$C35&gt;$H22),AND($E22="Lower is better",$C35&lt;$H22)),"Improving","Worsening")))</f>
        <v>Improving</v>
      </c>
    </row>
    <row r="36" customFormat="false" ht="15" hidden="false" customHeight="true" outlineLevel="0" collapsed="false">
      <c r="B36" s="34" t="s">
        <v>49</v>
      </c>
      <c r="C36" s="55" t="n">
        <f aca="false">IF($E36=0,"",$D36/$E36)</f>
        <v>22</v>
      </c>
      <c r="D36" s="52" t="n">
        <f aca="false">IF($C$13="Yes",COUNTIF(Matters!$R$6:$R604,"Yes")+COUNTIF(Matters!$T$6:$T604,"Yes"),COUNTIF(Matters!$R$6:$R604,"Yes"))</f>
        <v>176</v>
      </c>
      <c r="E36" s="52" t="n">
        <f aca="false">IF($C$13="Yes",COUNTIF(Roster!$C$6:$C44,"Yes")+COUNTIF(Roster!$C$6:$C44,"No"),COUNTIF(Roster!$C$6:$C44,"Yes"))</f>
        <v>8</v>
      </c>
      <c r="F36" s="53" t="str">
        <f aca="false">IF($C36="","",TEXT($C36,"0.0")&amp;" each across "&amp;$E36&amp;IF($C$13="Yes"," lawyers, in-house and outside"," in-house lawyers"))</f>
        <v>22.0 each across 8 in-house lawyers</v>
      </c>
      <c r="G36" s="54" t="str">
        <f aca="false">IF($C36="","",IF($E23="Lower is better",IF($C36&lt;=$C23,"On track",IF($C36&lt;=$C23+$D23,"Watch","Off")),IF($C36&gt;=$C23,"On track",IF($C36&gt;=$C23-$D23,"Watch","Off"))))</f>
        <v>Watch</v>
      </c>
      <c r="H36" s="54" t="str">
        <f aca="false">IF(OR($C36="",$H23=""),"n/a",IF(ABS($C36-$H23)&lt;=$F23,"Flat",IF(OR(AND($E23="Higher is better",$C36&gt;$H23),AND($E23="Lower is better",$C36&lt;$H23)),"Improving","Worsening")))</f>
        <v>Worsening</v>
      </c>
    </row>
    <row r="37" customFormat="false" ht="15" hidden="false" customHeight="true" outlineLevel="0" collapsed="false">
      <c r="B37" s="34" t="s">
        <v>99</v>
      </c>
      <c r="C37" s="56" t="n">
        <f aca="false">IF(Spend!$K$18=0,"",$E37/Spend!$K$18-1)</f>
        <v>0.04</v>
      </c>
      <c r="D37" s="57" t="n">
        <f aca="false">SUM(Spend!$D$6:$D154)+SUM(Spend!$E$6:$E154)</f>
        <v>2720000</v>
      </c>
      <c r="E37" s="57" t="n">
        <f aca="false">IF($C$9=0,"",$D37/$C$9*12+Spend!$K$20)</f>
        <v>4160000</v>
      </c>
      <c r="F37" s="53" t="str">
        <f aca="false">IF($C37="","",TEXT($D37/Spend!$K$18,"0%")&amp;" used, forecast "&amp;TEXT(ABS($C37),"0%")&amp;IF($C37&gt;=0," over"," under"))</f>
        <v>68% used, forecast 4% over</v>
      </c>
      <c r="G37" s="54" t="str">
        <f aca="false">IF($C37="","",IF($E24="Lower is better",IF($C37&lt;=$C24,"On track",IF($C37&lt;=$C24+$D24,"Watch","Off")),IF($C37&gt;=$C24,"On track",IF($C37&gt;=$C24-$D24,"Watch","Off"))))</f>
        <v>Off</v>
      </c>
      <c r="H37" s="54" t="str">
        <f aca="false">IF(OR($C37="",$H24=""),"n/a",IF(ABS($C37-$H24)&lt;=$F24,"Flat",IF(OR(AND($E24="Higher is better",$C37&gt;$H24),AND($E24="Lower is better",$C37&lt;$H24)),"Improving","Worsening")))</f>
        <v>Worsening</v>
      </c>
    </row>
    <row r="40" customFormat="false" ht="15" hidden="false" customHeight="true" outlineLevel="0" collapsed="false">
      <c r="B40" s="2" t="s">
        <v>149</v>
      </c>
      <c r="C40" s="33" t="s">
        <v>150</v>
      </c>
    </row>
    <row r="41" customFormat="false" ht="15" hidden="false" customHeight="true" outlineLevel="0" collapsed="false">
      <c r="B41" s="58" t="s">
        <v>151</v>
      </c>
      <c r="C41" s="52" t="n">
        <f aca="false">COUNTIF(Roster!$C$6:$C44,"Yes")</f>
        <v>8</v>
      </c>
    </row>
    <row r="42" customFormat="false" ht="15" hidden="false" customHeight="true" outlineLevel="0" collapsed="false">
      <c r="B42" s="58" t="s">
        <v>152</v>
      </c>
      <c r="C42" s="52" t="n">
        <f aca="false">COUNTIF(Roster!$C$6:$C44,"No")</f>
        <v>3</v>
      </c>
    </row>
    <row r="43" customFormat="false" ht="15" hidden="false" customHeight="true" outlineLevel="0" collapsed="false">
      <c r="B43" s="58" t="s">
        <v>153</v>
      </c>
      <c r="C43" s="52" t="n">
        <f aca="false">COUNTIF(Matters!$R$6:$R604,"Yes")</f>
        <v>176</v>
      </c>
    </row>
    <row r="44" customFormat="false" ht="15" hidden="false" customHeight="true" outlineLevel="0" collapsed="false">
      <c r="B44" s="58" t="s">
        <v>154</v>
      </c>
      <c r="C44" s="52" t="n">
        <f aca="false">COUNTIF(Matters!$T$6:$T604,"Yes")</f>
        <v>10</v>
      </c>
    </row>
    <row r="45" customFormat="false" ht="15" hidden="false" customHeight="true" outlineLevel="0" collapsed="false">
      <c r="B45" s="34" t="s">
        <v>155</v>
      </c>
      <c r="C45" s="59" t="n">
        <f aca="false">IF($C41=0,"",$C43/$C41)</f>
        <v>22</v>
      </c>
    </row>
    <row r="46" customFormat="false" ht="15" hidden="false" customHeight="true" outlineLevel="0" collapsed="false">
      <c r="B46" s="34" t="s">
        <v>156</v>
      </c>
      <c r="C46" s="59" t="n">
        <f aca="false">IF($C41+$C42=0,"",($C43+$C44)/($C41+$C42))</f>
        <v>16.9090909090909</v>
      </c>
    </row>
    <row r="47" customFormat="false" ht="15" hidden="false" customHeight="true" outlineLevel="0" collapsed="false">
      <c r="B47" s="27" t="s">
        <v>157</v>
      </c>
      <c r="C47" s="27"/>
      <c r="D47" s="27"/>
      <c r="E47" s="27"/>
      <c r="F47" s="27"/>
      <c r="G47" s="27"/>
      <c r="H47" s="27"/>
      <c r="I47" s="27"/>
    </row>
  </sheetData>
  <mergeCells count="3">
    <mergeCell ref="C5:E5"/>
    <mergeCell ref="B25:I25"/>
    <mergeCell ref="B47:I47"/>
  </mergeCells>
  <dataValidations count="17">
    <dataValidation allowBlank="true" errorStyle="stop" operator="between" showDropDown="false" showErrorMessage="false" showInputMessage="false" sqref="C13" type="list">
      <formula1>"Yes,No"</formula1>
      <formula2>0</formula2>
    </dataValidation>
    <dataValidation allowBlank="true" errorStyle="stop" operator="between" showDropDown="false" showErrorMessage="false" showInputMessage="false" sqref="E17" type="list">
      <formula1>"Higher is better,Lower is better"</formula1>
      <formula2>0</formula2>
    </dataValidation>
    <dataValidation allowBlank="true" errorStyle="stop" operator="between" showDropDown="false" showErrorMessage="false" showInputMessage="false" sqref="G17" type="list">
      <formula1>"Measured,Proxy,Directional"</formula1>
      <formula2>0</formula2>
    </dataValidation>
    <dataValidation allowBlank="true" errorStyle="stop" operator="between" showDropDown="false" showErrorMessage="false" showInputMessage="false" sqref="E18" type="list">
      <formula1>"Higher is better,Lower is better"</formula1>
      <formula2>0</formula2>
    </dataValidation>
    <dataValidation allowBlank="true" errorStyle="stop" operator="between" showDropDown="false" showErrorMessage="false" showInputMessage="false" sqref="G18" type="list">
      <formula1>"Measured,Proxy,Directional"</formula1>
      <formula2>0</formula2>
    </dataValidation>
    <dataValidation allowBlank="true" errorStyle="stop" operator="between" showDropDown="false" showErrorMessage="false" showInputMessage="false" sqref="E19" type="list">
      <formula1>"Higher is better,Lower is better"</formula1>
      <formula2>0</formula2>
    </dataValidation>
    <dataValidation allowBlank="true" errorStyle="stop" operator="between" showDropDown="false" showErrorMessage="false" showInputMessage="false" sqref="G19" type="list">
      <formula1>"Measured,Proxy,Directional"</formula1>
      <formula2>0</formula2>
    </dataValidation>
    <dataValidation allowBlank="true" errorStyle="stop" operator="between" showDropDown="false" showErrorMessage="false" showInputMessage="false" sqref="E20" type="list">
      <formula1>"Higher is better,Lower is better"</formula1>
      <formula2>0</formula2>
    </dataValidation>
    <dataValidation allowBlank="true" errorStyle="stop" operator="between" showDropDown="false" showErrorMessage="false" showInputMessage="false" sqref="G20" type="list">
      <formula1>"Measured,Proxy,Directional"</formula1>
      <formula2>0</formula2>
    </dataValidation>
    <dataValidation allowBlank="true" errorStyle="stop" operator="between" showDropDown="false" showErrorMessage="false" showInputMessage="false" sqref="E21" type="list">
      <formula1>"Higher is better,Lower is better"</formula1>
      <formula2>0</formula2>
    </dataValidation>
    <dataValidation allowBlank="true" errorStyle="stop" operator="between" showDropDown="false" showErrorMessage="false" showInputMessage="false" sqref="G21" type="list">
      <formula1>"Measured,Proxy,Directional"</formula1>
      <formula2>0</formula2>
    </dataValidation>
    <dataValidation allowBlank="true" errorStyle="stop" operator="between" showDropDown="false" showErrorMessage="false" showInputMessage="false" sqref="E22" type="list">
      <formula1>"Higher is better,Lower is better"</formula1>
      <formula2>0</formula2>
    </dataValidation>
    <dataValidation allowBlank="true" errorStyle="stop" operator="between" showDropDown="false" showErrorMessage="false" showInputMessage="false" sqref="G22" type="list">
      <formula1>"Measured,Proxy,Directional"</formula1>
      <formula2>0</formula2>
    </dataValidation>
    <dataValidation allowBlank="true" errorStyle="stop" operator="between" showDropDown="false" showErrorMessage="false" showInputMessage="false" sqref="E23" type="list">
      <formula1>"Higher is better,Lower is better"</formula1>
      <formula2>0</formula2>
    </dataValidation>
    <dataValidation allowBlank="true" errorStyle="stop" operator="between" showDropDown="false" showErrorMessage="false" showInputMessage="false" sqref="G23" type="list">
      <formula1>"Measured,Proxy,Directional"</formula1>
      <formula2>0</formula2>
    </dataValidation>
    <dataValidation allowBlank="true" errorStyle="stop" operator="between" showDropDown="false" showErrorMessage="false" showInputMessage="false" sqref="E24" type="list">
      <formula1>"Higher is better,Lower is better"</formula1>
      <formula2>0</formula2>
    </dataValidation>
    <dataValidation allowBlank="true" errorStyle="stop" operator="between" showDropDown="false" showErrorMessage="false" showInputMessage="false" sqref="G24" type="list">
      <formula1>"Measured,Proxy,Directional"</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B5563"/>
    <pageSetUpPr fitToPage="true"/>
  </sheetPr>
  <dimension ref="A1:Q4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3" min="2" style="1" width="19"/>
    <col collapsed="false" customWidth="true" hidden="false" outlineLevel="0" max="5" min="4" style="1" width="20"/>
    <col collapsed="false" customWidth="true" hidden="false" outlineLevel="0" max="6" min="6" style="1" width="17"/>
    <col collapsed="false" customWidth="true" hidden="false" outlineLevel="0" max="7" min="7" style="1" width="11"/>
    <col collapsed="false" customWidth="true" hidden="false" outlineLevel="0" max="8" min="8" style="1" width="25"/>
    <col collapsed="false" customWidth="true" hidden="false" outlineLevel="0" max="9" min="9" style="1" width="13"/>
    <col collapsed="false" customWidth="true" hidden="false" outlineLevel="0" max="10" min="10" style="1" width="11"/>
    <col collapsed="false" customWidth="true" hidden="false" outlineLevel="0" max="11" min="11" style="1" width="15"/>
    <col collapsed="false" customWidth="true" hidden="false" outlineLevel="0" max="12" min="12" style="1" width="22"/>
    <col collapsed="false" customWidth="true" hidden="false" outlineLevel="0" max="13" min="13" style="1" width="3"/>
    <col collapsed="false" customWidth="true" hidden="false" outlineLevel="0" max="14" min="14" style="1" width="11"/>
    <col collapsed="false" customWidth="true" hidden="false" outlineLevel="0" max="15" min="15" style="1" width="20"/>
    <col collapsed="false" customWidth="true" hidden="false" outlineLevel="0" max="16" min="16" style="1" width="24"/>
    <col collapsed="false" customWidth="true" hidden="false" outlineLevel="0" max="17" min="17" style="1" width="46"/>
  </cols>
  <sheetData>
    <row r="1" customFormat="false" ht="21.75" hidden="false" customHeight="true" outlineLevel="0" collapsed="false">
      <c r="A1" s="31" t="s">
        <v>26</v>
      </c>
    </row>
    <row r="2" customFormat="false" ht="15" hidden="false" customHeight="true" outlineLevel="0" collapsed="false">
      <c r="A2" s="32" t="s">
        <v>158</v>
      </c>
    </row>
    <row r="3" customFormat="false" ht="15" hidden="false" customHeight="true" outlineLevel="0" collapsed="false">
      <c r="A3" s="60" t="s">
        <v>159</v>
      </c>
      <c r="N3" s="2" t="s">
        <v>160</v>
      </c>
    </row>
    <row r="4" customFormat="false" ht="15" hidden="false" customHeight="true" outlineLevel="0" collapsed="false">
      <c r="A4" s="30" t="s">
        <v>161</v>
      </c>
      <c r="I4" s="61" t="s">
        <v>162</v>
      </c>
      <c r="N4" s="62" t="s">
        <v>163</v>
      </c>
    </row>
    <row r="5" customFormat="false" ht="30" hidden="false" customHeight="true" outlineLevel="0" collapsed="false">
      <c r="A5" s="8" t="s">
        <v>164</v>
      </c>
      <c r="B5" s="8" t="s">
        <v>165</v>
      </c>
      <c r="C5" s="8" t="s">
        <v>166</v>
      </c>
      <c r="D5" s="8" t="s">
        <v>167</v>
      </c>
      <c r="E5" s="8" t="s">
        <v>168</v>
      </c>
      <c r="F5" s="8" t="s">
        <v>169</v>
      </c>
      <c r="G5" s="8" t="s">
        <v>170</v>
      </c>
      <c r="H5" s="8" t="s">
        <v>171</v>
      </c>
      <c r="I5" s="50" t="s">
        <v>172</v>
      </c>
      <c r="J5" s="50" t="s">
        <v>173</v>
      </c>
      <c r="K5" s="50" t="s">
        <v>174</v>
      </c>
      <c r="L5" s="50" t="s">
        <v>106</v>
      </c>
      <c r="N5" s="8" t="s">
        <v>170</v>
      </c>
      <c r="O5" s="8" t="s">
        <v>106</v>
      </c>
      <c r="P5" s="8" t="s">
        <v>175</v>
      </c>
      <c r="Q5" s="8" t="s">
        <v>176</v>
      </c>
    </row>
    <row r="6" customFormat="false" ht="15" hidden="false" customHeight="true" outlineLevel="0" collapsed="false">
      <c r="A6" s="63" t="s">
        <v>177</v>
      </c>
      <c r="B6" s="64" t="n">
        <v>46204.625</v>
      </c>
      <c r="C6" s="64" t="n">
        <v>46205.515</v>
      </c>
      <c r="D6" s="63" t="s">
        <v>178</v>
      </c>
      <c r="E6" s="63" t="s">
        <v>121</v>
      </c>
      <c r="F6" s="63" t="s">
        <v>179</v>
      </c>
      <c r="G6" s="63" t="s">
        <v>180</v>
      </c>
      <c r="H6" s="63"/>
      <c r="I6" s="65" t="n">
        <f aca="false">IF(OR($B6="",$C6=""),"",$C6-$B6)</f>
        <v>0.89</v>
      </c>
      <c r="J6" s="66" t="str">
        <f aca="false">IF($B6="","",IF(AND($B6&gt;=Targets!$C$7,$B6&lt;Targets!$C$8+1),"Yes","No"))</f>
        <v>No</v>
      </c>
      <c r="K6" s="65" t="str">
        <f aca="false">IF($J6="Yes",$I6,"")</f>
        <v/>
      </c>
      <c r="L6" s="66" t="str">
        <f aca="false">IF($G6="","",IFERROR(INDEX($O$6:$O$25,MATCH($G6,$N$6:$N$25,0)),"Unknown dept"))</f>
        <v>Operations</v>
      </c>
      <c r="N6" s="9" t="s">
        <v>181</v>
      </c>
      <c r="O6" s="10" t="s">
        <v>182</v>
      </c>
      <c r="P6" s="10" t="s">
        <v>183</v>
      </c>
      <c r="Q6" s="10" t="s">
        <v>184</v>
      </c>
    </row>
    <row r="7" customFormat="false" ht="15" hidden="false" customHeight="true" outlineLevel="0" collapsed="false">
      <c r="A7" s="67" t="s">
        <v>185</v>
      </c>
      <c r="B7" s="68" t="n">
        <v>46205.5416666667</v>
      </c>
      <c r="C7" s="68" t="n">
        <v>46207.9116666667</v>
      </c>
      <c r="D7" s="67" t="s">
        <v>178</v>
      </c>
      <c r="E7" s="67" t="s">
        <v>121</v>
      </c>
      <c r="F7" s="67" t="s">
        <v>186</v>
      </c>
      <c r="G7" s="67" t="s">
        <v>180</v>
      </c>
      <c r="H7" s="67"/>
      <c r="I7" s="65" t="n">
        <f aca="false">IF(OR($B7="",$C7=""),"",$C7-$B7)</f>
        <v>2.37</v>
      </c>
      <c r="J7" s="66" t="str">
        <f aca="false">IF($B7="","",IF(AND($B7&gt;=Targets!$C$7,$B7&lt;Targets!$C$8+1),"Yes","No"))</f>
        <v>No</v>
      </c>
      <c r="K7" s="65" t="str">
        <f aca="false">IF($J7="Yes",$I7,"")</f>
        <v/>
      </c>
      <c r="L7" s="66" t="str">
        <f aca="false">IF($G7="","",IFERROR(INDEX($O$6:$O$25,MATCH($G7,$N$6:$N$25,0)),"Unknown dept"))</f>
        <v>Operations</v>
      </c>
      <c r="N7" s="11" t="s">
        <v>187</v>
      </c>
      <c r="O7" s="12" t="s">
        <v>188</v>
      </c>
      <c r="P7" s="12" t="s">
        <v>183</v>
      </c>
      <c r="Q7" s="12" t="s">
        <v>189</v>
      </c>
    </row>
    <row r="8" customFormat="false" ht="15" hidden="false" customHeight="true" outlineLevel="0" collapsed="false">
      <c r="A8" s="63" t="s">
        <v>190</v>
      </c>
      <c r="B8" s="64" t="n">
        <v>46208.4166666667</v>
      </c>
      <c r="C8" s="64" t="n">
        <v>46210.0666666667</v>
      </c>
      <c r="D8" s="63" t="s">
        <v>191</v>
      </c>
      <c r="E8" s="63" t="s">
        <v>121</v>
      </c>
      <c r="F8" s="63" t="s">
        <v>192</v>
      </c>
      <c r="G8" s="63" t="s">
        <v>193</v>
      </c>
      <c r="H8" s="63"/>
      <c r="I8" s="65" t="n">
        <f aca="false">IF(OR($B8="",$C8=""),"",$C8-$B8)</f>
        <v>1.65000000001157</v>
      </c>
      <c r="J8" s="66" t="str">
        <f aca="false">IF($B8="","",IF(AND($B8&gt;=Targets!$C$7,$B8&lt;Targets!$C$8+1),"Yes","No"))</f>
        <v>No</v>
      </c>
      <c r="K8" s="65" t="str">
        <f aca="false">IF($J8="Yes",$I8,"")</f>
        <v/>
      </c>
      <c r="L8" s="66" t="str">
        <f aca="false">IF($G8="","",IFERROR(INDEX($O$6:$O$25,MATCH($G8,$N$6:$N$25,0)),"Unknown dept"))</f>
        <v>Procurement</v>
      </c>
      <c r="N8" s="9" t="s">
        <v>194</v>
      </c>
      <c r="O8" s="10" t="s">
        <v>195</v>
      </c>
      <c r="P8" s="10" t="s">
        <v>196</v>
      </c>
      <c r="Q8" s="10" t="s">
        <v>197</v>
      </c>
    </row>
    <row r="9" customFormat="false" ht="15" hidden="false" customHeight="true" outlineLevel="0" collapsed="false">
      <c r="A9" s="67" t="s">
        <v>198</v>
      </c>
      <c r="B9" s="68" t="n">
        <v>46210.6666666667</v>
      </c>
      <c r="C9" s="68" t="n">
        <v>46210.8966666667</v>
      </c>
      <c r="D9" s="67" t="s">
        <v>178</v>
      </c>
      <c r="E9" s="67" t="s">
        <v>121</v>
      </c>
      <c r="F9" s="67" t="s">
        <v>186</v>
      </c>
      <c r="G9" s="67" t="s">
        <v>199</v>
      </c>
      <c r="H9" s="67"/>
      <c r="I9" s="65" t="n">
        <f aca="false">IF(OR($B9="",$C9=""),"",$C9-$B9)</f>
        <v>0.23</v>
      </c>
      <c r="J9" s="66" t="str">
        <f aca="false">IF($B9="","",IF(AND($B9&gt;=Targets!$C$7,$B9&lt;Targets!$C$8+1),"Yes","No"))</f>
        <v>No</v>
      </c>
      <c r="K9" s="65" t="str">
        <f aca="false">IF($J9="Yes",$I9,"")</f>
        <v/>
      </c>
      <c r="L9" s="66" t="str">
        <f aca="false">IF($G9="","",IFERROR(INDEX($O$6:$O$25,MATCH($G9,$N$6:$N$25,0)),"Unknown dept"))</f>
        <v>IT</v>
      </c>
      <c r="N9" s="11" t="s">
        <v>199</v>
      </c>
      <c r="O9" s="12" t="s">
        <v>200</v>
      </c>
      <c r="P9" s="12" t="s">
        <v>196</v>
      </c>
      <c r="Q9" s="12" t="s">
        <v>201</v>
      </c>
    </row>
    <row r="10" customFormat="false" ht="15" hidden="false" customHeight="true" outlineLevel="0" collapsed="false">
      <c r="A10" s="63" t="s">
        <v>202</v>
      </c>
      <c r="B10" s="64" t="n">
        <v>46213.4583333333</v>
      </c>
      <c r="C10" s="64" t="n">
        <v>46214.5483333333</v>
      </c>
      <c r="D10" s="63" t="s">
        <v>203</v>
      </c>
      <c r="E10" s="63" t="s">
        <v>121</v>
      </c>
      <c r="F10" s="63" t="s">
        <v>204</v>
      </c>
      <c r="G10" s="63" t="s">
        <v>181</v>
      </c>
      <c r="H10" s="63"/>
      <c r="I10" s="65" t="n">
        <f aca="false">IF(OR($B10="",$C10=""),"",$C10-$B10)</f>
        <v>1.09</v>
      </c>
      <c r="J10" s="66" t="str">
        <f aca="false">IF($B10="","",IF(AND($B10&gt;=Targets!$C$7,$B10&lt;Targets!$C$8+1),"Yes","No"))</f>
        <v>No</v>
      </c>
      <c r="K10" s="65" t="str">
        <f aca="false">IF($J10="Yes",$I10,"")</f>
        <v/>
      </c>
      <c r="L10" s="66" t="str">
        <f aca="false">IF($G10="","",IFERROR(INDEX($O$6:$O$25,MATCH($G10,$N$6:$N$25,0)),"Unknown dept"))</f>
        <v>Sales</v>
      </c>
      <c r="N10" s="9" t="s">
        <v>205</v>
      </c>
      <c r="O10" s="10" t="s">
        <v>206</v>
      </c>
      <c r="P10" s="10" t="s">
        <v>207</v>
      </c>
      <c r="Q10" s="10" t="s">
        <v>208</v>
      </c>
    </row>
    <row r="11" customFormat="false" ht="15" hidden="false" customHeight="true" outlineLevel="0" collapsed="false">
      <c r="A11" s="67" t="s">
        <v>209</v>
      </c>
      <c r="B11" s="68" t="n">
        <v>46214.5416666667</v>
      </c>
      <c r="C11" s="68" t="n">
        <v>46216.4216666667</v>
      </c>
      <c r="D11" s="67" t="s">
        <v>178</v>
      </c>
      <c r="E11" s="67" t="s">
        <v>121</v>
      </c>
      <c r="F11" s="67" t="s">
        <v>186</v>
      </c>
      <c r="G11" s="67" t="s">
        <v>194</v>
      </c>
      <c r="H11" s="67"/>
      <c r="I11" s="65" t="n">
        <f aca="false">IF(OR($B11="",$C11=""),"",$C11-$B11)</f>
        <v>1.88000000001157</v>
      </c>
      <c r="J11" s="66" t="str">
        <f aca="false">IF($B11="","",IF(AND($B11&gt;=Targets!$C$7,$B11&lt;Targets!$C$8+1),"Yes","No"))</f>
        <v>No</v>
      </c>
      <c r="K11" s="65" t="str">
        <f aca="false">IF($J11="Yes",$I11,"")</f>
        <v/>
      </c>
      <c r="L11" s="66" t="str">
        <f aca="false">IF($G11="","",IFERROR(INDEX($O$6:$O$25,MATCH($G11,$N$6:$N$25,0)),"Unknown dept"))</f>
        <v>Engineering</v>
      </c>
      <c r="N11" s="11" t="s">
        <v>193</v>
      </c>
      <c r="O11" s="12" t="s">
        <v>210</v>
      </c>
      <c r="P11" s="12" t="s">
        <v>207</v>
      </c>
      <c r="Q11" s="12" t="s">
        <v>211</v>
      </c>
    </row>
    <row r="12" customFormat="false" ht="15" hidden="false" customHeight="true" outlineLevel="0" collapsed="false">
      <c r="A12" s="63" t="s">
        <v>212</v>
      </c>
      <c r="B12" s="64" t="n">
        <v>46216.6666666667</v>
      </c>
      <c r="C12" s="64" t="n">
        <v>46218.1166666667</v>
      </c>
      <c r="D12" s="63" t="s">
        <v>178</v>
      </c>
      <c r="E12" s="63" t="s">
        <v>121</v>
      </c>
      <c r="F12" s="63" t="s">
        <v>213</v>
      </c>
      <c r="G12" s="63" t="s">
        <v>214</v>
      </c>
      <c r="H12" s="63"/>
      <c r="I12" s="65" t="n">
        <f aca="false">IF(OR($B12="",$C12=""),"",$C12-$B12)</f>
        <v>1.45000000001157</v>
      </c>
      <c r="J12" s="66" t="str">
        <f aca="false">IF($B12="","",IF(AND($B12&gt;=Targets!$C$7,$B12&lt;Targets!$C$8+1),"Yes","No"))</f>
        <v>No</v>
      </c>
      <c r="K12" s="65" t="str">
        <f aca="false">IF($J12="Yes",$I12,"")</f>
        <v/>
      </c>
      <c r="L12" s="66" t="str">
        <f aca="false">IF($G12="","",IFERROR(INDEX($O$6:$O$25,MATCH($G12,$N$6:$N$25,0)),"Unknown dept"))</f>
        <v>People</v>
      </c>
      <c r="N12" s="9" t="s">
        <v>214</v>
      </c>
      <c r="O12" s="10" t="s">
        <v>215</v>
      </c>
      <c r="P12" s="10" t="s">
        <v>207</v>
      </c>
      <c r="Q12" s="10" t="s">
        <v>216</v>
      </c>
    </row>
    <row r="13" customFormat="false" ht="15" hidden="false" customHeight="true" outlineLevel="0" collapsed="false">
      <c r="A13" s="67" t="s">
        <v>217</v>
      </c>
      <c r="B13" s="68" t="n">
        <v>46218.375</v>
      </c>
      <c r="C13" s="68" t="n">
        <v>46219.215</v>
      </c>
      <c r="D13" s="67" t="s">
        <v>203</v>
      </c>
      <c r="E13" s="67" t="s">
        <v>121</v>
      </c>
      <c r="F13" s="67" t="s">
        <v>218</v>
      </c>
      <c r="G13" s="67" t="s">
        <v>199</v>
      </c>
      <c r="H13" s="67"/>
      <c r="I13" s="65" t="n">
        <f aca="false">IF(OR($B13="",$C13=""),"",$C13-$B13)</f>
        <v>0.84</v>
      </c>
      <c r="J13" s="66" t="str">
        <f aca="false">IF($B13="","",IF(AND($B13&gt;=Targets!$C$7,$B13&lt;Targets!$C$8+1),"Yes","No"))</f>
        <v>No</v>
      </c>
      <c r="K13" s="65" t="str">
        <f aca="false">IF($J13="Yes",$I13,"")</f>
        <v/>
      </c>
      <c r="L13" s="66" t="str">
        <f aca="false">IF($G13="","",IFERROR(INDEX($O$6:$O$25,MATCH($G13,$N$6:$N$25,0)),"Unknown dept"))</f>
        <v>IT</v>
      </c>
      <c r="N13" s="11" t="s">
        <v>180</v>
      </c>
      <c r="O13" s="12" t="s">
        <v>219</v>
      </c>
      <c r="P13" s="12" t="s">
        <v>207</v>
      </c>
      <c r="Q13" s="12" t="s">
        <v>220</v>
      </c>
    </row>
    <row r="14" customFormat="false" ht="15" hidden="false" customHeight="true" outlineLevel="0" collapsed="false">
      <c r="A14" s="63" t="s">
        <v>221</v>
      </c>
      <c r="B14" s="64" t="n">
        <v>46219.625</v>
      </c>
      <c r="C14" s="64" t="n">
        <v>46222.545</v>
      </c>
      <c r="D14" s="63" t="s">
        <v>191</v>
      </c>
      <c r="E14" s="63" t="s">
        <v>121</v>
      </c>
      <c r="F14" s="63" t="s">
        <v>222</v>
      </c>
      <c r="G14" s="63" t="s">
        <v>180</v>
      </c>
      <c r="H14" s="63"/>
      <c r="I14" s="65" t="n">
        <f aca="false">IF(OR($B14="",$C14=""),"",$C14-$B14)</f>
        <v>2.92</v>
      </c>
      <c r="J14" s="66" t="str">
        <f aca="false">IF($B14="","",IF(AND($B14&gt;=Targets!$C$7,$B14&lt;Targets!$C$8+1),"Yes","No"))</f>
        <v>No</v>
      </c>
      <c r="K14" s="65" t="str">
        <f aca="false">IF($J14="Yes",$I14,"")</f>
        <v/>
      </c>
      <c r="L14" s="66" t="str">
        <f aca="false">IF($G14="","",IFERROR(INDEX($O$6:$O$25,MATCH($G14,$N$6:$N$25,0)),"Unknown dept"))</f>
        <v>Operations</v>
      </c>
    </row>
    <row r="15" customFormat="false" ht="15" hidden="false" customHeight="true" outlineLevel="0" collapsed="false">
      <c r="A15" s="67" t="s">
        <v>223</v>
      </c>
      <c r="B15" s="68" t="n">
        <v>46219.7083333333</v>
      </c>
      <c r="C15" s="68" t="n">
        <v>46220.0183333333</v>
      </c>
      <c r="D15" s="67" t="s">
        <v>191</v>
      </c>
      <c r="E15" s="67" t="s">
        <v>121</v>
      </c>
      <c r="F15" s="67" t="s">
        <v>224</v>
      </c>
      <c r="G15" s="67" t="s">
        <v>181</v>
      </c>
      <c r="H15" s="67"/>
      <c r="I15" s="65" t="n">
        <f aca="false">IF(OR($B15="",$C15=""),"",$C15-$B15)</f>
        <v>0.31</v>
      </c>
      <c r="J15" s="66" t="str">
        <f aca="false">IF($B15="","",IF(AND($B15&gt;=Targets!$C$7,$B15&lt;Targets!$C$8+1),"Yes","No"))</f>
        <v>No</v>
      </c>
      <c r="K15" s="65" t="str">
        <f aca="false">IF($J15="Yes",$I15,"")</f>
        <v/>
      </c>
      <c r="L15" s="66" t="str">
        <f aca="false">IF($G15="","",IFERROR(INDEX($O$6:$O$25,MATCH($G15,$N$6:$N$25,0)),"Unknown dept"))</f>
        <v>Sales</v>
      </c>
    </row>
    <row r="16" customFormat="false" ht="15" hidden="false" customHeight="true" outlineLevel="0" collapsed="false">
      <c r="A16" s="63" t="s">
        <v>225</v>
      </c>
      <c r="B16" s="64" t="n">
        <v>46220.5</v>
      </c>
      <c r="C16" s="64" t="n">
        <v>46221.84</v>
      </c>
      <c r="D16" s="63" t="s">
        <v>191</v>
      </c>
      <c r="E16" s="63" t="s">
        <v>121</v>
      </c>
      <c r="F16" s="63" t="s">
        <v>204</v>
      </c>
      <c r="G16" s="63" t="s">
        <v>199</v>
      </c>
      <c r="H16" s="63"/>
      <c r="I16" s="65" t="n">
        <f aca="false">IF(OR($B16="",$C16=""),"",$C16-$B16)</f>
        <v>1.34</v>
      </c>
      <c r="J16" s="66" t="str">
        <f aca="false">IF($B16="","",IF(AND($B16&gt;=Targets!$C$7,$B16&lt;Targets!$C$8+1),"Yes","No"))</f>
        <v>No</v>
      </c>
      <c r="K16" s="65" t="str">
        <f aca="false">IF($J16="Yes",$I16,"")</f>
        <v/>
      </c>
      <c r="L16" s="66" t="str">
        <f aca="false">IF($G16="","",IFERROR(INDEX($O$6:$O$25,MATCH($G16,$N$6:$N$25,0)),"Unknown dept"))</f>
        <v>IT</v>
      </c>
    </row>
    <row r="17" customFormat="false" ht="15" hidden="false" customHeight="true" outlineLevel="0" collapsed="false">
      <c r="A17" s="67" t="s">
        <v>226</v>
      </c>
      <c r="B17" s="68" t="n">
        <v>46222.4583333333</v>
      </c>
      <c r="C17" s="68" t="n">
        <v>46222.8783333333</v>
      </c>
      <c r="D17" s="67" t="s">
        <v>203</v>
      </c>
      <c r="E17" s="67" t="s">
        <v>121</v>
      </c>
      <c r="F17" s="67" t="s">
        <v>186</v>
      </c>
      <c r="G17" s="67" t="s">
        <v>180</v>
      </c>
      <c r="H17" s="67"/>
      <c r="I17" s="65" t="n">
        <f aca="false">IF(OR($B17="",$C17=""),"",$C17-$B17)</f>
        <v>0.419999999988426</v>
      </c>
      <c r="J17" s="66" t="str">
        <f aca="false">IF($B17="","",IF(AND($B17&gt;=Targets!$C$7,$B17&lt;Targets!$C$8+1),"Yes","No"))</f>
        <v>No</v>
      </c>
      <c r="K17" s="65" t="str">
        <f aca="false">IF($J17="Yes",$I17,"")</f>
        <v/>
      </c>
      <c r="L17" s="66" t="str">
        <f aca="false">IF($G17="","",IFERROR(INDEX($O$6:$O$25,MATCH($G17,$N$6:$N$25,0)),"Unknown dept"))</f>
        <v>Operations</v>
      </c>
    </row>
    <row r="18" customFormat="false" ht="15" hidden="false" customHeight="true" outlineLevel="0" collapsed="false">
      <c r="A18" s="63" t="s">
        <v>227</v>
      </c>
      <c r="B18" s="64" t="n">
        <v>46222.5416666667</v>
      </c>
      <c r="C18" s="64" t="n">
        <v>46224.9416666667</v>
      </c>
      <c r="D18" s="63" t="s">
        <v>178</v>
      </c>
      <c r="E18" s="63" t="s">
        <v>121</v>
      </c>
      <c r="F18" s="63" t="s">
        <v>228</v>
      </c>
      <c r="G18" s="63" t="s">
        <v>180</v>
      </c>
      <c r="H18" s="63"/>
      <c r="I18" s="65" t="n">
        <f aca="false">IF(OR($B18="",$C18=""),"",$C18-$B18)</f>
        <v>2.40000000001157</v>
      </c>
      <c r="J18" s="66" t="str">
        <f aca="false">IF($B18="","",IF(AND($B18&gt;=Targets!$C$7,$B18&lt;Targets!$C$8+1),"Yes","No"))</f>
        <v>No</v>
      </c>
      <c r="K18" s="65" t="str">
        <f aca="false">IF($J18="Yes",$I18,"")</f>
        <v/>
      </c>
      <c r="L18" s="66" t="str">
        <f aca="false">IF($G18="","",IFERROR(INDEX($O$6:$O$25,MATCH($G18,$N$6:$N$25,0)),"Unknown dept"))</f>
        <v>Operations</v>
      </c>
    </row>
    <row r="19" customFormat="false" ht="15" hidden="false" customHeight="true" outlineLevel="0" collapsed="false">
      <c r="A19" s="67" t="s">
        <v>229</v>
      </c>
      <c r="B19" s="68" t="n">
        <v>46226.375</v>
      </c>
      <c r="C19" s="68" t="n">
        <v>46228.335</v>
      </c>
      <c r="D19" s="67" t="s">
        <v>203</v>
      </c>
      <c r="E19" s="67" t="s">
        <v>121</v>
      </c>
      <c r="F19" s="67" t="s">
        <v>192</v>
      </c>
      <c r="G19" s="67" t="s">
        <v>180</v>
      </c>
      <c r="H19" s="67"/>
      <c r="I19" s="65" t="n">
        <f aca="false">IF(OR($B19="",$C19=""),"",$C19-$B19)</f>
        <v>1.96</v>
      </c>
      <c r="J19" s="66" t="str">
        <f aca="false">IF($B19="","",IF(AND($B19&gt;=Targets!$C$7,$B19&lt;Targets!$C$8+1),"Yes","No"))</f>
        <v>No</v>
      </c>
      <c r="K19" s="65" t="str">
        <f aca="false">IF($J19="Yes",$I19,"")</f>
        <v/>
      </c>
      <c r="L19" s="66" t="str">
        <f aca="false">IF($G19="","",IFERROR(INDEX($O$6:$O$25,MATCH($G19,$N$6:$N$25,0)),"Unknown dept"))</f>
        <v>Operations</v>
      </c>
    </row>
    <row r="20" customFormat="false" ht="15" hidden="false" customHeight="true" outlineLevel="0" collapsed="false">
      <c r="A20" s="63" t="s">
        <v>230</v>
      </c>
      <c r="B20" s="64" t="n">
        <v>46226.4166666667</v>
      </c>
      <c r="C20" s="64" t="n">
        <v>46226.9766666667</v>
      </c>
      <c r="D20" s="63" t="s">
        <v>191</v>
      </c>
      <c r="E20" s="63" t="s">
        <v>121</v>
      </c>
      <c r="F20" s="63" t="s">
        <v>231</v>
      </c>
      <c r="G20" s="63" t="s">
        <v>181</v>
      </c>
      <c r="H20" s="63"/>
      <c r="I20" s="65" t="n">
        <f aca="false">IF(OR($B20="",$C20=""),"",$C20-$B20)</f>
        <v>0.560000000011574</v>
      </c>
      <c r="J20" s="66" t="str">
        <f aca="false">IF($B20="","",IF(AND($B20&gt;=Targets!$C$7,$B20&lt;Targets!$C$8+1),"Yes","No"))</f>
        <v>No</v>
      </c>
      <c r="K20" s="65" t="str">
        <f aca="false">IF($J20="Yes",$I20,"")</f>
        <v/>
      </c>
      <c r="L20" s="66" t="str">
        <f aca="false">IF($G20="","",IFERROR(INDEX($O$6:$O$25,MATCH($G20,$N$6:$N$25,0)),"Unknown dept"))</f>
        <v>Sales</v>
      </c>
    </row>
    <row r="21" customFormat="false" ht="15" hidden="false" customHeight="true" outlineLevel="0" collapsed="false">
      <c r="A21" s="67" t="s">
        <v>232</v>
      </c>
      <c r="B21" s="68" t="n">
        <v>46226.5833333333</v>
      </c>
      <c r="C21" s="68" t="n">
        <v>46229.2933333333</v>
      </c>
      <c r="D21" s="67" t="s">
        <v>203</v>
      </c>
      <c r="E21" s="67" t="s">
        <v>121</v>
      </c>
      <c r="F21" s="67" t="s">
        <v>186</v>
      </c>
      <c r="G21" s="67" t="s">
        <v>199</v>
      </c>
      <c r="H21" s="67"/>
      <c r="I21" s="65" t="n">
        <f aca="false">IF(OR($B21="",$C21=""),"",$C21-$B21)</f>
        <v>2.70999999998843</v>
      </c>
      <c r="J21" s="66" t="str">
        <f aca="false">IF($B21="","",IF(AND($B21&gt;=Targets!$C$7,$B21&lt;Targets!$C$8+1),"Yes","No"))</f>
        <v>No</v>
      </c>
      <c r="K21" s="65" t="str">
        <f aca="false">IF($J21="Yes",$I21,"")</f>
        <v/>
      </c>
      <c r="L21" s="66" t="str">
        <f aca="false">IF($G21="","",IFERROR(INDEX($O$6:$O$25,MATCH($G21,$N$6:$N$25,0)),"Unknown dept"))</f>
        <v>IT</v>
      </c>
    </row>
    <row r="22" customFormat="false" ht="15" hidden="false" customHeight="true" outlineLevel="0" collapsed="false">
      <c r="A22" s="63" t="s">
        <v>233</v>
      </c>
      <c r="B22" s="64" t="n">
        <v>46226.6666666667</v>
      </c>
      <c r="C22" s="64" t="n">
        <v>46227.7466666667</v>
      </c>
      <c r="D22" s="63" t="s">
        <v>191</v>
      </c>
      <c r="E22" s="63" t="s">
        <v>121</v>
      </c>
      <c r="F22" s="63" t="s">
        <v>231</v>
      </c>
      <c r="G22" s="63" t="s">
        <v>194</v>
      </c>
      <c r="H22" s="63"/>
      <c r="I22" s="65" t="n">
        <f aca="false">IF(OR($B22="",$C22=""),"",$C22-$B22)</f>
        <v>1.08000000001157</v>
      </c>
      <c r="J22" s="66" t="str">
        <f aca="false">IF($B22="","",IF(AND($B22&gt;=Targets!$C$7,$B22&lt;Targets!$C$8+1),"Yes","No"))</f>
        <v>No</v>
      </c>
      <c r="K22" s="65" t="str">
        <f aca="false">IF($J22="Yes",$I22,"")</f>
        <v/>
      </c>
      <c r="L22" s="66" t="str">
        <f aca="false">IF($G22="","",IFERROR(INDEX($O$6:$O$25,MATCH($G22,$N$6:$N$25,0)),"Unknown dept"))</f>
        <v>Engineering</v>
      </c>
    </row>
    <row r="23" customFormat="false" ht="15" hidden="false" customHeight="true" outlineLevel="0" collapsed="false">
      <c r="A23" s="67" t="s">
        <v>234</v>
      </c>
      <c r="B23" s="68" t="n">
        <v>46230.4166666667</v>
      </c>
      <c r="C23" s="68" t="n">
        <v>46232.8666666667</v>
      </c>
      <c r="D23" s="67" t="s">
        <v>203</v>
      </c>
      <c r="E23" s="67" t="s">
        <v>121</v>
      </c>
      <c r="F23" s="67" t="s">
        <v>228</v>
      </c>
      <c r="G23" s="67" t="s">
        <v>199</v>
      </c>
      <c r="H23" s="67"/>
      <c r="I23" s="65" t="n">
        <f aca="false">IF(OR($B23="",$C23=""),"",$C23-$B23)</f>
        <v>2.45000000001157</v>
      </c>
      <c r="J23" s="66" t="str">
        <f aca="false">IF($B23="","",IF(AND($B23&gt;=Targets!$C$7,$B23&lt;Targets!$C$8+1),"Yes","No"))</f>
        <v>No</v>
      </c>
      <c r="K23" s="65" t="str">
        <f aca="false">IF($J23="Yes",$I23,"")</f>
        <v/>
      </c>
      <c r="L23" s="66" t="str">
        <f aca="false">IF($G23="","",IFERROR(INDEX($O$6:$O$25,MATCH($G23,$N$6:$N$25,0)),"Unknown dept"))</f>
        <v>IT</v>
      </c>
    </row>
    <row r="24" customFormat="false" ht="15" hidden="false" customHeight="true" outlineLevel="0" collapsed="false">
      <c r="A24" s="63" t="s">
        <v>235</v>
      </c>
      <c r="B24" s="64" t="n">
        <v>46230.5416666667</v>
      </c>
      <c r="C24" s="64" t="n">
        <v>46233.5116666667</v>
      </c>
      <c r="D24" s="63" t="s">
        <v>203</v>
      </c>
      <c r="E24" s="63" t="s">
        <v>121</v>
      </c>
      <c r="F24" s="63" t="s">
        <v>231</v>
      </c>
      <c r="G24" s="63" t="s">
        <v>199</v>
      </c>
      <c r="H24" s="63"/>
      <c r="I24" s="65" t="n">
        <f aca="false">IF(OR($B24="",$C24=""),"",$C24-$B24)</f>
        <v>2.97000000001157</v>
      </c>
      <c r="J24" s="66" t="str">
        <f aca="false">IF($B24="","",IF(AND($B24&gt;=Targets!$C$7,$B24&lt;Targets!$C$8+1),"Yes","No"))</f>
        <v>No</v>
      </c>
      <c r="K24" s="65" t="str">
        <f aca="false">IF($J24="Yes",$I24,"")</f>
        <v/>
      </c>
      <c r="L24" s="66" t="str">
        <f aca="false">IF($G24="","",IFERROR(INDEX($O$6:$O$25,MATCH($G24,$N$6:$N$25,0)),"Unknown dept"))</f>
        <v>IT</v>
      </c>
    </row>
    <row r="25" customFormat="false" ht="15" hidden="false" customHeight="true" outlineLevel="0" collapsed="false">
      <c r="A25" s="67" t="s">
        <v>236</v>
      </c>
      <c r="B25" s="68" t="n">
        <v>46233.6666666667</v>
      </c>
      <c r="C25" s="68" t="n">
        <v>46235.8266666667</v>
      </c>
      <c r="D25" s="67" t="s">
        <v>203</v>
      </c>
      <c r="E25" s="67" t="s">
        <v>121</v>
      </c>
      <c r="F25" s="67" t="s">
        <v>213</v>
      </c>
      <c r="G25" s="67" t="s">
        <v>205</v>
      </c>
      <c r="H25" s="67"/>
      <c r="I25" s="65" t="n">
        <f aca="false">IF(OR($B25="",$C25=""),"",$C25-$B25)</f>
        <v>2.16</v>
      </c>
      <c r="J25" s="66" t="str">
        <f aca="false">IF($B25="","",IF(AND($B25&gt;=Targets!$C$7,$B25&lt;Targets!$C$8+1),"Yes","No"))</f>
        <v>No</v>
      </c>
      <c r="K25" s="65" t="str">
        <f aca="false">IF($J25="Yes",$I25,"")</f>
        <v/>
      </c>
      <c r="L25" s="66" t="str">
        <f aca="false">IF($G25="","",IFERROR(INDEX($O$6:$O$25,MATCH($G25,$N$6:$N$25,0)),"Unknown dept"))</f>
        <v>Finance</v>
      </c>
    </row>
    <row r="26" customFormat="false" ht="15" hidden="false" customHeight="true" outlineLevel="0" collapsed="false">
      <c r="A26" s="63" t="s">
        <v>237</v>
      </c>
      <c r="B26" s="64" t="n">
        <v>46235.53125</v>
      </c>
      <c r="C26" s="64" t="n">
        <v>46236.35125</v>
      </c>
      <c r="D26" s="63" t="s">
        <v>191</v>
      </c>
      <c r="E26" s="63" t="s">
        <v>121</v>
      </c>
      <c r="F26" s="63" t="s">
        <v>218</v>
      </c>
      <c r="G26" s="63" t="s">
        <v>193</v>
      </c>
      <c r="H26" s="63"/>
      <c r="I26" s="65" t="n">
        <f aca="false">IF(OR($B26="",$C26=""),"",$C26-$B26)</f>
        <v>0.82</v>
      </c>
      <c r="J26" s="66" t="str">
        <f aca="false">IF($B26="","",IF(AND($B26&gt;=Targets!$C$7,$B26&lt;Targets!$C$8+1),"Yes","No"))</f>
        <v>Yes</v>
      </c>
      <c r="K26" s="65" t="n">
        <f aca="false">IF($J26="Yes",$I26,"")</f>
        <v>0.82</v>
      </c>
      <c r="L26" s="66" t="str">
        <f aca="false">IF($G26="","",IFERROR(INDEX($O$6:$O$25,MATCH($G26,$N$6:$N$25,0)),"Unknown dept"))</f>
        <v>Procurement</v>
      </c>
    </row>
    <row r="27" customFormat="false" ht="15" hidden="false" customHeight="true" outlineLevel="0" collapsed="false">
      <c r="A27" s="67" t="s">
        <v>238</v>
      </c>
      <c r="B27" s="68" t="n">
        <v>46235.5729166667</v>
      </c>
      <c r="C27" s="68" t="n">
        <v>46237.7729166667</v>
      </c>
      <c r="D27" s="67" t="s">
        <v>178</v>
      </c>
      <c r="E27" s="67" t="s">
        <v>121</v>
      </c>
      <c r="F27" s="67" t="s">
        <v>231</v>
      </c>
      <c r="G27" s="67" t="s">
        <v>187</v>
      </c>
      <c r="H27" s="67" t="s">
        <v>239</v>
      </c>
      <c r="I27" s="65" t="n">
        <f aca="false">IF(OR($B27="",$C27=""),"",$C27-$B27)</f>
        <v>2.20000000001157</v>
      </c>
      <c r="J27" s="66" t="str">
        <f aca="false">IF($B27="","",IF(AND($B27&gt;=Targets!$C$7,$B27&lt;Targets!$C$8+1),"Yes","No"))</f>
        <v>Yes</v>
      </c>
      <c r="K27" s="65" t="n">
        <f aca="false">IF($J27="Yes",$I27,"")</f>
        <v>2.20000000001157</v>
      </c>
      <c r="L27" s="66" t="str">
        <f aca="false">IF($G27="","",IFERROR(INDEX($O$6:$O$25,MATCH($G27,$N$6:$N$25,0)),"Unknown dept"))</f>
        <v>Marketing</v>
      </c>
    </row>
    <row r="28" customFormat="false" ht="15" hidden="false" customHeight="true" outlineLevel="0" collapsed="false">
      <c r="A28" s="63" t="s">
        <v>240</v>
      </c>
      <c r="B28" s="64" t="n">
        <v>46236.4861111111</v>
      </c>
      <c r="C28" s="64" t="n">
        <v>46236.6561111111</v>
      </c>
      <c r="D28" s="63" t="s">
        <v>203</v>
      </c>
      <c r="E28" s="63" t="s">
        <v>121</v>
      </c>
      <c r="F28" s="63" t="s">
        <v>231</v>
      </c>
      <c r="G28" s="63" t="s">
        <v>205</v>
      </c>
      <c r="H28" s="63"/>
      <c r="I28" s="65" t="n">
        <f aca="false">IF(OR($B28="",$C28=""),"",$C28-$B28)</f>
        <v>0.17</v>
      </c>
      <c r="J28" s="66" t="str">
        <f aca="false">IF($B28="","",IF(AND($B28&gt;=Targets!$C$7,$B28&lt;Targets!$C$8+1),"Yes","No"))</f>
        <v>Yes</v>
      </c>
      <c r="K28" s="65" t="n">
        <f aca="false">IF($J28="Yes",$I28,"")</f>
        <v>0.17</v>
      </c>
      <c r="L28" s="66" t="str">
        <f aca="false">IF($G28="","",IFERROR(INDEX($O$6:$O$25,MATCH($G28,$N$6:$N$25,0)),"Unknown dept"))</f>
        <v>Finance</v>
      </c>
    </row>
    <row r="29" customFormat="false" ht="15" hidden="false" customHeight="true" outlineLevel="0" collapsed="false">
      <c r="A29" s="67" t="s">
        <v>241</v>
      </c>
      <c r="B29" s="68" t="n">
        <v>46236.5069444445</v>
      </c>
      <c r="C29" s="68" t="n">
        <v>46239.1069444444</v>
      </c>
      <c r="D29" s="67" t="s">
        <v>178</v>
      </c>
      <c r="E29" s="67" t="s">
        <v>121</v>
      </c>
      <c r="F29" s="67" t="s">
        <v>242</v>
      </c>
      <c r="G29" s="67" t="s">
        <v>180</v>
      </c>
      <c r="H29" s="67" t="s">
        <v>243</v>
      </c>
      <c r="I29" s="65" t="n">
        <f aca="false">IF(OR($B29="",$C29=""),"",$C29-$B29)</f>
        <v>2.59999999998843</v>
      </c>
      <c r="J29" s="66" t="str">
        <f aca="false">IF($B29="","",IF(AND($B29&gt;=Targets!$C$7,$B29&lt;Targets!$C$8+1),"Yes","No"))</f>
        <v>Yes</v>
      </c>
      <c r="K29" s="65" t="n">
        <f aca="false">IF($J29="Yes",$I29,"")</f>
        <v>2.59999999998843</v>
      </c>
      <c r="L29" s="66" t="str">
        <f aca="false">IF($G29="","",IFERROR(INDEX($O$6:$O$25,MATCH($G29,$N$6:$N$25,0)),"Unknown dept"))</f>
        <v>Operations</v>
      </c>
    </row>
    <row r="30" customFormat="false" ht="15" hidden="false" customHeight="true" outlineLevel="0" collapsed="false">
      <c r="A30" s="63" t="s">
        <v>244</v>
      </c>
      <c r="B30" s="64" t="n">
        <v>46236.5625</v>
      </c>
      <c r="C30" s="64" t="n">
        <v>46240.1125</v>
      </c>
      <c r="D30" s="63" t="s">
        <v>191</v>
      </c>
      <c r="E30" s="63" t="s">
        <v>121</v>
      </c>
      <c r="F30" s="63" t="s">
        <v>231</v>
      </c>
      <c r="G30" s="63" t="s">
        <v>187</v>
      </c>
      <c r="H30" s="63"/>
      <c r="I30" s="65" t="n">
        <f aca="false">IF(OR($B30="",$C30=""),"",$C30-$B30)</f>
        <v>3.55</v>
      </c>
      <c r="J30" s="66" t="str">
        <f aca="false">IF($B30="","",IF(AND($B30&gt;=Targets!$C$7,$B30&lt;Targets!$C$8+1),"Yes","No"))</f>
        <v>Yes</v>
      </c>
      <c r="K30" s="65" t="n">
        <f aca="false">IF($J30="Yes",$I30,"")</f>
        <v>3.55</v>
      </c>
      <c r="L30" s="66" t="str">
        <f aca="false">IF($G30="","",IFERROR(INDEX($O$6:$O$25,MATCH($G30,$N$6:$N$25,0)),"Unknown dept"))</f>
        <v>Marketing</v>
      </c>
    </row>
    <row r="31" customFormat="false" ht="15" hidden="false" customHeight="true" outlineLevel="0" collapsed="false">
      <c r="A31" s="67" t="s">
        <v>245</v>
      </c>
      <c r="B31" s="68" t="n">
        <v>46236.7256944445</v>
      </c>
      <c r="C31" s="68" t="n">
        <v>46236.9156944445</v>
      </c>
      <c r="D31" s="67" t="s">
        <v>191</v>
      </c>
      <c r="E31" s="67" t="s">
        <v>121</v>
      </c>
      <c r="F31" s="67" t="s">
        <v>213</v>
      </c>
      <c r="G31" s="67" t="s">
        <v>205</v>
      </c>
      <c r="H31" s="67"/>
      <c r="I31" s="65" t="n">
        <f aca="false">IF(OR($B31="",$C31=""),"",$C31-$B31)</f>
        <v>0.19</v>
      </c>
      <c r="J31" s="66" t="str">
        <f aca="false">IF($B31="","",IF(AND($B31&gt;=Targets!$C$7,$B31&lt;Targets!$C$8+1),"Yes","No"))</f>
        <v>Yes</v>
      </c>
      <c r="K31" s="65" t="n">
        <f aca="false">IF($J31="Yes",$I31,"")</f>
        <v>0.19</v>
      </c>
      <c r="L31" s="66" t="str">
        <f aca="false">IF($G31="","",IFERROR(INDEX($O$6:$O$25,MATCH($G31,$N$6:$N$25,0)),"Unknown dept"))</f>
        <v>Finance</v>
      </c>
    </row>
    <row r="32" customFormat="false" ht="15" hidden="false" customHeight="true" outlineLevel="0" collapsed="false">
      <c r="A32" s="63" t="s">
        <v>246</v>
      </c>
      <c r="B32" s="64" t="n">
        <v>46237.3333333333</v>
      </c>
      <c r="C32" s="64" t="n">
        <v>46241.2833333333</v>
      </c>
      <c r="D32" s="63" t="s">
        <v>178</v>
      </c>
      <c r="E32" s="63" t="s">
        <v>121</v>
      </c>
      <c r="F32" s="63" t="s">
        <v>213</v>
      </c>
      <c r="G32" s="63" t="s">
        <v>205</v>
      </c>
      <c r="H32" s="63" t="s">
        <v>247</v>
      </c>
      <c r="I32" s="65" t="n">
        <f aca="false">IF(OR($B32="",$C32=""),"",$C32-$B32)</f>
        <v>3.95</v>
      </c>
      <c r="J32" s="66" t="str">
        <f aca="false">IF($B32="","",IF(AND($B32&gt;=Targets!$C$7,$B32&lt;Targets!$C$8+1),"Yes","No"))</f>
        <v>Yes</v>
      </c>
      <c r="K32" s="65" t="n">
        <f aca="false">IF($J32="Yes",$I32,"")</f>
        <v>3.95</v>
      </c>
      <c r="L32" s="66" t="str">
        <f aca="false">IF($G32="","",IFERROR(INDEX($O$6:$O$25,MATCH($G32,$N$6:$N$25,0)),"Unknown dept"))</f>
        <v>Finance</v>
      </c>
    </row>
    <row r="33" customFormat="false" ht="15" hidden="false" customHeight="true" outlineLevel="0" collapsed="false">
      <c r="A33" s="67" t="s">
        <v>248</v>
      </c>
      <c r="B33" s="68" t="n">
        <v>46237.4479166667</v>
      </c>
      <c r="C33" s="68" t="n">
        <v>46239.0979166667</v>
      </c>
      <c r="D33" s="67" t="s">
        <v>191</v>
      </c>
      <c r="E33" s="67" t="s">
        <v>121</v>
      </c>
      <c r="F33" s="67" t="s">
        <v>186</v>
      </c>
      <c r="G33" s="67" t="s">
        <v>181</v>
      </c>
      <c r="H33" s="67"/>
      <c r="I33" s="65" t="n">
        <f aca="false">IF(OR($B33="",$C33=""),"",$C33-$B33)</f>
        <v>1.65000000001157</v>
      </c>
      <c r="J33" s="66" t="str">
        <f aca="false">IF($B33="","",IF(AND($B33&gt;=Targets!$C$7,$B33&lt;Targets!$C$8+1),"Yes","No"))</f>
        <v>Yes</v>
      </c>
      <c r="K33" s="65" t="n">
        <f aca="false">IF($J33="Yes",$I33,"")</f>
        <v>1.65000000001157</v>
      </c>
      <c r="L33" s="66" t="str">
        <f aca="false">IF($G33="","",IFERROR(INDEX($O$6:$O$25,MATCH($G33,$N$6:$N$25,0)),"Unknown dept"))</f>
        <v>Sales</v>
      </c>
    </row>
    <row r="34" customFormat="false" ht="15" hidden="false" customHeight="true" outlineLevel="0" collapsed="false">
      <c r="A34" s="63" t="s">
        <v>249</v>
      </c>
      <c r="B34" s="64" t="n">
        <v>46237.4583333333</v>
      </c>
      <c r="C34" s="64" t="n">
        <v>46239.9083333333</v>
      </c>
      <c r="D34" s="63" t="s">
        <v>178</v>
      </c>
      <c r="E34" s="63" t="s">
        <v>121</v>
      </c>
      <c r="F34" s="63" t="s">
        <v>228</v>
      </c>
      <c r="G34" s="63" t="s">
        <v>180</v>
      </c>
      <c r="H34" s="63" t="s">
        <v>250</v>
      </c>
      <c r="I34" s="65" t="n">
        <f aca="false">IF(OR($B34="",$C34=""),"",$C34-$B34)</f>
        <v>2.45</v>
      </c>
      <c r="J34" s="66" t="str">
        <f aca="false">IF($B34="","",IF(AND($B34&gt;=Targets!$C$7,$B34&lt;Targets!$C$8+1),"Yes","No"))</f>
        <v>Yes</v>
      </c>
      <c r="K34" s="65" t="n">
        <f aca="false">IF($J34="Yes",$I34,"")</f>
        <v>2.45</v>
      </c>
      <c r="L34" s="66" t="str">
        <f aca="false">IF($G34="","",IFERROR(INDEX($O$6:$O$25,MATCH($G34,$N$6:$N$25,0)),"Unknown dept"))</f>
        <v>Operations</v>
      </c>
    </row>
    <row r="35" customFormat="false" ht="15" hidden="false" customHeight="true" outlineLevel="0" collapsed="false">
      <c r="A35" s="67" t="s">
        <v>251</v>
      </c>
      <c r="B35" s="68" t="n">
        <v>46237.4965277778</v>
      </c>
      <c r="C35" s="68" t="n">
        <v>46239.5965277778</v>
      </c>
      <c r="D35" s="67" t="s">
        <v>203</v>
      </c>
      <c r="E35" s="67" t="s">
        <v>121</v>
      </c>
      <c r="F35" s="67" t="s">
        <v>218</v>
      </c>
      <c r="G35" s="67" t="s">
        <v>205</v>
      </c>
      <c r="H35" s="67"/>
      <c r="I35" s="65" t="n">
        <f aca="false">IF(OR($B35="",$C35=""),"",$C35-$B35)</f>
        <v>2.1</v>
      </c>
      <c r="J35" s="66" t="str">
        <f aca="false">IF($B35="","",IF(AND($B35&gt;=Targets!$C$7,$B35&lt;Targets!$C$8+1),"Yes","No"))</f>
        <v>Yes</v>
      </c>
      <c r="K35" s="65" t="n">
        <f aca="false">IF($J35="Yes",$I35,"")</f>
        <v>2.1</v>
      </c>
      <c r="L35" s="66" t="str">
        <f aca="false">IF($G35="","",IFERROR(INDEX($O$6:$O$25,MATCH($G35,$N$6:$N$25,0)),"Unknown dept"))</f>
        <v>Finance</v>
      </c>
    </row>
    <row r="36" customFormat="false" ht="15" hidden="false" customHeight="true" outlineLevel="0" collapsed="false">
      <c r="A36" s="63" t="s">
        <v>252</v>
      </c>
      <c r="B36" s="64" t="n">
        <v>46237.5590277778</v>
      </c>
      <c r="C36" s="64" t="n">
        <v>46238.3390277778</v>
      </c>
      <c r="D36" s="63" t="s">
        <v>191</v>
      </c>
      <c r="E36" s="63" t="s">
        <v>121</v>
      </c>
      <c r="F36" s="63" t="s">
        <v>224</v>
      </c>
      <c r="G36" s="63" t="s">
        <v>214</v>
      </c>
      <c r="H36" s="63"/>
      <c r="I36" s="65" t="n">
        <f aca="false">IF(OR($B36="",$C36=""),"",$C36-$B36)</f>
        <v>0.78</v>
      </c>
      <c r="J36" s="66" t="str">
        <f aca="false">IF($B36="","",IF(AND($B36&gt;=Targets!$C$7,$B36&lt;Targets!$C$8+1),"Yes","No"))</f>
        <v>Yes</v>
      </c>
      <c r="K36" s="65" t="n">
        <f aca="false">IF($J36="Yes",$I36,"")</f>
        <v>0.78</v>
      </c>
      <c r="L36" s="66" t="str">
        <f aca="false">IF($G36="","",IFERROR(INDEX($O$6:$O$25,MATCH($G36,$N$6:$N$25,0)),"Unknown dept"))</f>
        <v>People</v>
      </c>
    </row>
    <row r="37" customFormat="false" ht="15" hidden="false" customHeight="true" outlineLevel="0" collapsed="false">
      <c r="A37" s="67" t="s">
        <v>253</v>
      </c>
      <c r="B37" s="68" t="n">
        <v>46237.6145833333</v>
      </c>
      <c r="C37" s="68" t="n">
        <v>46239.1645833333</v>
      </c>
      <c r="D37" s="67" t="s">
        <v>191</v>
      </c>
      <c r="E37" s="67" t="s">
        <v>121</v>
      </c>
      <c r="F37" s="67" t="s">
        <v>254</v>
      </c>
      <c r="G37" s="67" t="s">
        <v>187</v>
      </c>
      <c r="H37" s="67"/>
      <c r="I37" s="65" t="n">
        <f aca="false">IF(OR($B37="",$C37=""),"",$C37-$B37)</f>
        <v>1.54999999998843</v>
      </c>
      <c r="J37" s="66" t="str">
        <f aca="false">IF($B37="","",IF(AND($B37&gt;=Targets!$C$7,$B37&lt;Targets!$C$8+1),"Yes","No"))</f>
        <v>Yes</v>
      </c>
      <c r="K37" s="65" t="n">
        <f aca="false">IF($J37="Yes",$I37,"")</f>
        <v>1.54999999998843</v>
      </c>
      <c r="L37" s="66" t="str">
        <f aca="false">IF($G37="","",IFERROR(INDEX($O$6:$O$25,MATCH($G37,$N$6:$N$25,0)),"Unknown dept"))</f>
        <v>Marketing</v>
      </c>
    </row>
    <row r="38" customFormat="false" ht="15" hidden="false" customHeight="true" outlineLevel="0" collapsed="false">
      <c r="A38" s="63" t="s">
        <v>255</v>
      </c>
      <c r="B38" s="64" t="n">
        <v>46237.7256944445</v>
      </c>
      <c r="C38" s="64" t="n">
        <v>46239.4756944445</v>
      </c>
      <c r="D38" s="63" t="s">
        <v>203</v>
      </c>
      <c r="E38" s="63" t="s">
        <v>121</v>
      </c>
      <c r="F38" s="63" t="s">
        <v>231</v>
      </c>
      <c r="G38" s="63" t="s">
        <v>193</v>
      </c>
      <c r="H38" s="63"/>
      <c r="I38" s="65" t="n">
        <f aca="false">IF(OR($B38="",$C38=""),"",$C38-$B38)</f>
        <v>1.75</v>
      </c>
      <c r="J38" s="66" t="str">
        <f aca="false">IF($B38="","",IF(AND($B38&gt;=Targets!$C$7,$B38&lt;Targets!$C$8+1),"Yes","No"))</f>
        <v>Yes</v>
      </c>
      <c r="K38" s="65" t="n">
        <f aca="false">IF($J38="Yes",$I38,"")</f>
        <v>1.75</v>
      </c>
      <c r="L38" s="66" t="str">
        <f aca="false">IF($G38="","",IFERROR(INDEX($O$6:$O$25,MATCH($G38,$N$6:$N$25,0)),"Unknown dept"))</f>
        <v>Procurement</v>
      </c>
    </row>
    <row r="39" customFormat="false" ht="15" hidden="false" customHeight="true" outlineLevel="0" collapsed="false">
      <c r="A39" s="67" t="s">
        <v>256</v>
      </c>
      <c r="B39" s="68" t="n">
        <v>46238.3333333333</v>
      </c>
      <c r="C39" s="68" t="n">
        <v>46238.9233333333</v>
      </c>
      <c r="D39" s="67" t="s">
        <v>191</v>
      </c>
      <c r="E39" s="67" t="s">
        <v>121</v>
      </c>
      <c r="F39" s="67" t="s">
        <v>257</v>
      </c>
      <c r="G39" s="67" t="s">
        <v>180</v>
      </c>
      <c r="H39" s="67"/>
      <c r="I39" s="65" t="n">
        <f aca="false">IF(OR($B39="",$C39=""),"",$C39-$B39)</f>
        <v>0.59</v>
      </c>
      <c r="J39" s="66" t="str">
        <f aca="false">IF($B39="","",IF(AND($B39&gt;=Targets!$C$7,$B39&lt;Targets!$C$8+1),"Yes","No"))</f>
        <v>Yes</v>
      </c>
      <c r="K39" s="65" t="n">
        <f aca="false">IF($J39="Yes",$I39,"")</f>
        <v>0.59</v>
      </c>
      <c r="L39" s="66" t="str">
        <f aca="false">IF($G39="","",IFERROR(INDEX($O$6:$O$25,MATCH($G39,$N$6:$N$25,0)),"Unknown dept"))</f>
        <v>Operations</v>
      </c>
    </row>
    <row r="40" customFormat="false" ht="15" hidden="false" customHeight="true" outlineLevel="0" collapsed="false">
      <c r="A40" s="63" t="s">
        <v>258</v>
      </c>
      <c r="B40" s="64" t="n">
        <v>46238.5104166667</v>
      </c>
      <c r="C40" s="64" t="n">
        <v>46240.9104166667</v>
      </c>
      <c r="D40" s="63" t="s">
        <v>191</v>
      </c>
      <c r="E40" s="63" t="s">
        <v>121</v>
      </c>
      <c r="F40" s="63" t="s">
        <v>259</v>
      </c>
      <c r="G40" s="63" t="s">
        <v>180</v>
      </c>
      <c r="H40" s="63"/>
      <c r="I40" s="65" t="n">
        <f aca="false">IF(OR($B40="",$C40=""),"",$C40-$B40)</f>
        <v>2.40000000001157</v>
      </c>
      <c r="J40" s="66" t="str">
        <f aca="false">IF($B40="","",IF(AND($B40&gt;=Targets!$C$7,$B40&lt;Targets!$C$8+1),"Yes","No"))</f>
        <v>Yes</v>
      </c>
      <c r="K40" s="65" t="n">
        <f aca="false">IF($J40="Yes",$I40,"")</f>
        <v>2.40000000001157</v>
      </c>
      <c r="L40" s="66" t="str">
        <f aca="false">IF($G40="","",IFERROR(INDEX($O$6:$O$25,MATCH($G40,$N$6:$N$25,0)),"Unknown dept"))</f>
        <v>Operations</v>
      </c>
    </row>
    <row r="41" customFormat="false" ht="15" hidden="false" customHeight="true" outlineLevel="0" collapsed="false">
      <c r="A41" s="67" t="s">
        <v>260</v>
      </c>
      <c r="B41" s="68" t="n">
        <v>46238.7256944445</v>
      </c>
      <c r="C41" s="68" t="n">
        <v>46239.4156944445</v>
      </c>
      <c r="D41" s="67" t="s">
        <v>178</v>
      </c>
      <c r="E41" s="67" t="s">
        <v>121</v>
      </c>
      <c r="F41" s="67" t="s">
        <v>222</v>
      </c>
      <c r="G41" s="67" t="s">
        <v>193</v>
      </c>
      <c r="H41" s="67" t="s">
        <v>261</v>
      </c>
      <c r="I41" s="65" t="n">
        <f aca="false">IF(OR($B41="",$C41=""),"",$C41-$B41)</f>
        <v>0.69</v>
      </c>
      <c r="J41" s="66" t="str">
        <f aca="false">IF($B41="","",IF(AND($B41&gt;=Targets!$C$7,$B41&lt;Targets!$C$8+1),"Yes","No"))</f>
        <v>Yes</v>
      </c>
      <c r="K41" s="65" t="n">
        <f aca="false">IF($J41="Yes",$I41,"")</f>
        <v>0.69</v>
      </c>
      <c r="L41" s="66" t="str">
        <f aca="false">IF($G41="","",IFERROR(INDEX($O$6:$O$25,MATCH($G41,$N$6:$N$25,0)),"Unknown dept"))</f>
        <v>Procurement</v>
      </c>
    </row>
    <row r="42" customFormat="false" ht="15" hidden="false" customHeight="true" outlineLevel="0" collapsed="false">
      <c r="A42" s="63" t="s">
        <v>262</v>
      </c>
      <c r="B42" s="64" t="n">
        <v>46238.7256944445</v>
      </c>
      <c r="C42" s="64" t="n">
        <v>46239.2756944444</v>
      </c>
      <c r="D42" s="63" t="s">
        <v>191</v>
      </c>
      <c r="E42" s="63" t="s">
        <v>121</v>
      </c>
      <c r="F42" s="63" t="s">
        <v>257</v>
      </c>
      <c r="G42" s="63" t="s">
        <v>194</v>
      </c>
      <c r="H42" s="63"/>
      <c r="I42" s="65" t="n">
        <f aca="false">IF(OR($B42="",$C42=""),"",$C42-$B42)</f>
        <v>0.549999999988426</v>
      </c>
      <c r="J42" s="66" t="str">
        <f aca="false">IF($B42="","",IF(AND($B42&gt;=Targets!$C$7,$B42&lt;Targets!$C$8+1),"Yes","No"))</f>
        <v>Yes</v>
      </c>
      <c r="K42" s="65" t="n">
        <f aca="false">IF($J42="Yes",$I42,"")</f>
        <v>0.549999999988426</v>
      </c>
      <c r="L42" s="66" t="str">
        <f aca="false">IF($G42="","",IFERROR(INDEX($O$6:$O$25,MATCH($G42,$N$6:$N$25,0)),"Unknown dept"))</f>
        <v>Engineering</v>
      </c>
    </row>
    <row r="43" customFormat="false" ht="15" hidden="false" customHeight="true" outlineLevel="0" collapsed="false">
      <c r="A43" s="67" t="s">
        <v>263</v>
      </c>
      <c r="B43" s="68" t="n">
        <v>46240.3541666667</v>
      </c>
      <c r="C43" s="68" t="n">
        <v>46242.3041666667</v>
      </c>
      <c r="D43" s="67" t="s">
        <v>203</v>
      </c>
      <c r="E43" s="67" t="s">
        <v>121</v>
      </c>
      <c r="F43" s="67" t="s">
        <v>242</v>
      </c>
      <c r="G43" s="67" t="s">
        <v>187</v>
      </c>
      <c r="H43" s="67"/>
      <c r="I43" s="65" t="n">
        <f aca="false">IF(OR($B43="",$C43=""),"",$C43-$B43)</f>
        <v>1.95000000001157</v>
      </c>
      <c r="J43" s="66" t="str">
        <f aca="false">IF($B43="","",IF(AND($B43&gt;=Targets!$C$7,$B43&lt;Targets!$C$8+1),"Yes","No"))</f>
        <v>Yes</v>
      </c>
      <c r="K43" s="65" t="n">
        <f aca="false">IF($J43="Yes",$I43,"")</f>
        <v>1.95000000001157</v>
      </c>
      <c r="L43" s="66" t="str">
        <f aca="false">IF($G43="","",IFERROR(INDEX($O$6:$O$25,MATCH($G43,$N$6:$N$25,0)),"Unknown dept"))</f>
        <v>Marketing</v>
      </c>
    </row>
    <row r="44" customFormat="false" ht="15" hidden="false" customHeight="true" outlineLevel="0" collapsed="false">
      <c r="A44" s="63" t="s">
        <v>264</v>
      </c>
      <c r="B44" s="64" t="n">
        <v>46240.3645833333</v>
      </c>
      <c r="C44" s="64" t="n">
        <v>46242.5145833333</v>
      </c>
      <c r="D44" s="63" t="s">
        <v>178</v>
      </c>
      <c r="E44" s="63" t="s">
        <v>121</v>
      </c>
      <c r="F44" s="63" t="s">
        <v>231</v>
      </c>
      <c r="G44" s="63" t="s">
        <v>180</v>
      </c>
      <c r="H44" s="63" t="s">
        <v>265</v>
      </c>
      <c r="I44" s="65" t="n">
        <f aca="false">IF(OR($B44="",$C44=""),"",$C44-$B44)</f>
        <v>2.14999999998843</v>
      </c>
      <c r="J44" s="66" t="str">
        <f aca="false">IF($B44="","",IF(AND($B44&gt;=Targets!$C$7,$B44&lt;Targets!$C$8+1),"Yes","No"))</f>
        <v>Yes</v>
      </c>
      <c r="K44" s="65" t="n">
        <f aca="false">IF($J44="Yes",$I44,"")</f>
        <v>2.14999999998843</v>
      </c>
      <c r="L44" s="66" t="str">
        <f aca="false">IF($G44="","",IFERROR(INDEX($O$6:$O$25,MATCH($G44,$N$6:$N$25,0)),"Unknown dept"))</f>
        <v>Operations</v>
      </c>
    </row>
    <row r="45" customFormat="false" ht="15" hidden="false" customHeight="true" outlineLevel="0" collapsed="false">
      <c r="A45" s="67" t="s">
        <v>266</v>
      </c>
      <c r="B45" s="68" t="n">
        <v>46240.5694444445</v>
      </c>
      <c r="C45" s="68" t="n">
        <v>46241.1894444445</v>
      </c>
      <c r="D45" s="67" t="s">
        <v>178</v>
      </c>
      <c r="E45" s="67" t="s">
        <v>121</v>
      </c>
      <c r="F45" s="67" t="s">
        <v>267</v>
      </c>
      <c r="G45" s="67" t="s">
        <v>205</v>
      </c>
      <c r="H45" s="67" t="s">
        <v>268</v>
      </c>
      <c r="I45" s="65" t="n">
        <f aca="false">IF(OR($B45="",$C45=""),"",$C45-$B45)</f>
        <v>0.62</v>
      </c>
      <c r="J45" s="66" t="str">
        <f aca="false">IF($B45="","",IF(AND($B45&gt;=Targets!$C$7,$B45&lt;Targets!$C$8+1),"Yes","No"))</f>
        <v>Yes</v>
      </c>
      <c r="K45" s="65" t="n">
        <f aca="false">IF($J45="Yes",$I45,"")</f>
        <v>0.62</v>
      </c>
      <c r="L45" s="66" t="str">
        <f aca="false">IF($G45="","",IFERROR(INDEX($O$6:$O$25,MATCH($G45,$N$6:$N$25,0)),"Unknown dept"))</f>
        <v>Finance</v>
      </c>
    </row>
    <row r="46" customFormat="false" ht="15" hidden="false" customHeight="true" outlineLevel="0" collapsed="false">
      <c r="A46" s="63" t="s">
        <v>269</v>
      </c>
      <c r="B46" s="64" t="n">
        <v>46240.6458333333</v>
      </c>
      <c r="C46" s="64" t="n">
        <v>46242.2458333333</v>
      </c>
      <c r="D46" s="63" t="s">
        <v>191</v>
      </c>
      <c r="E46" s="63" t="s">
        <v>121</v>
      </c>
      <c r="F46" s="63" t="s">
        <v>224</v>
      </c>
      <c r="G46" s="63" t="s">
        <v>193</v>
      </c>
      <c r="H46" s="63"/>
      <c r="I46" s="65" t="n">
        <f aca="false">IF(OR($B46="",$C46=""),"",$C46-$B46)</f>
        <v>1.59999999998843</v>
      </c>
      <c r="J46" s="66" t="str">
        <f aca="false">IF($B46="","",IF(AND($B46&gt;=Targets!$C$7,$B46&lt;Targets!$C$8+1),"Yes","No"))</f>
        <v>Yes</v>
      </c>
      <c r="K46" s="65" t="n">
        <f aca="false">IF($J46="Yes",$I46,"")</f>
        <v>1.59999999998843</v>
      </c>
      <c r="L46" s="66" t="str">
        <f aca="false">IF($G46="","",IFERROR(INDEX($O$6:$O$25,MATCH($G46,$N$6:$N$25,0)),"Unknown dept"))</f>
        <v>Procurement</v>
      </c>
    </row>
    <row r="47" customFormat="false" ht="15" hidden="false" customHeight="true" outlineLevel="0" collapsed="false">
      <c r="A47" s="67" t="s">
        <v>270</v>
      </c>
      <c r="B47" s="68" t="n">
        <v>46241.4166666667</v>
      </c>
      <c r="C47" s="68" t="n">
        <v>46242.5466666667</v>
      </c>
      <c r="D47" s="67" t="s">
        <v>191</v>
      </c>
      <c r="E47" s="67" t="s">
        <v>121</v>
      </c>
      <c r="F47" s="67" t="s">
        <v>222</v>
      </c>
      <c r="G47" s="67" t="s">
        <v>205</v>
      </c>
      <c r="H47" s="67"/>
      <c r="I47" s="65" t="n">
        <f aca="false">IF(OR($B47="",$C47=""),"",$C47-$B47)</f>
        <v>1.13000000001157</v>
      </c>
      <c r="J47" s="66" t="str">
        <f aca="false">IF($B47="","",IF(AND($B47&gt;=Targets!$C$7,$B47&lt;Targets!$C$8+1),"Yes","No"))</f>
        <v>Yes</v>
      </c>
      <c r="K47" s="65" t="n">
        <f aca="false">IF($J47="Yes",$I47,"")</f>
        <v>1.13000000001157</v>
      </c>
      <c r="L47" s="66" t="str">
        <f aca="false">IF($G47="","",IFERROR(INDEX($O$6:$O$25,MATCH($G47,$N$6:$N$25,0)),"Unknown dept"))</f>
        <v>Finance</v>
      </c>
    </row>
    <row r="48" customFormat="false" ht="15" hidden="false" customHeight="true" outlineLevel="0" collapsed="false">
      <c r="A48" s="63" t="s">
        <v>271</v>
      </c>
      <c r="B48" s="64" t="n">
        <v>46241.5902777778</v>
      </c>
      <c r="C48" s="64" t="n">
        <v>46244.8402777778</v>
      </c>
      <c r="D48" s="63" t="s">
        <v>178</v>
      </c>
      <c r="E48" s="63" t="s">
        <v>121</v>
      </c>
      <c r="F48" s="63" t="s">
        <v>231</v>
      </c>
      <c r="G48" s="63" t="s">
        <v>194</v>
      </c>
      <c r="H48" s="63" t="s">
        <v>272</v>
      </c>
      <c r="I48" s="65" t="n">
        <f aca="false">IF(OR($B48="",$C48=""),"",$C48-$B48)</f>
        <v>3.25</v>
      </c>
      <c r="J48" s="66" t="str">
        <f aca="false">IF($B48="","",IF(AND($B48&gt;=Targets!$C$7,$B48&lt;Targets!$C$8+1),"Yes","No"))</f>
        <v>Yes</v>
      </c>
      <c r="K48" s="65" t="n">
        <f aca="false">IF($J48="Yes",$I48,"")</f>
        <v>3.25</v>
      </c>
      <c r="L48" s="66" t="str">
        <f aca="false">IF($G48="","",IFERROR(INDEX($O$6:$O$25,MATCH($G48,$N$6:$N$25,0)),"Unknown dept"))</f>
        <v>Engineering</v>
      </c>
    </row>
    <row r="49" customFormat="false" ht="15" hidden="false" customHeight="true" outlineLevel="0" collapsed="false">
      <c r="A49" s="67" t="s">
        <v>273</v>
      </c>
      <c r="B49" s="68" t="n">
        <v>46241.5902777778</v>
      </c>
      <c r="C49" s="68" t="n">
        <v>46245.3402777778</v>
      </c>
      <c r="D49" s="67" t="s">
        <v>178</v>
      </c>
      <c r="E49" s="67" t="s">
        <v>121</v>
      </c>
      <c r="F49" s="67" t="s">
        <v>257</v>
      </c>
      <c r="G49" s="67" t="s">
        <v>214</v>
      </c>
      <c r="H49" s="67" t="s">
        <v>274</v>
      </c>
      <c r="I49" s="65" t="n">
        <f aca="false">IF(OR($B49="",$C49=""),"",$C49-$B49)</f>
        <v>3.75</v>
      </c>
      <c r="J49" s="66" t="str">
        <f aca="false">IF($B49="","",IF(AND($B49&gt;=Targets!$C$7,$B49&lt;Targets!$C$8+1),"Yes","No"))</f>
        <v>Yes</v>
      </c>
      <c r="K49" s="65" t="n">
        <f aca="false">IF($J49="Yes",$I49,"")</f>
        <v>3.75</v>
      </c>
      <c r="L49" s="66" t="str">
        <f aca="false">IF($G49="","",IFERROR(INDEX($O$6:$O$25,MATCH($G49,$N$6:$N$25,0)),"Unknown dept"))</f>
        <v>People</v>
      </c>
    </row>
    <row r="50" customFormat="false" ht="15" hidden="false" customHeight="true" outlineLevel="0" collapsed="false">
      <c r="A50" s="63" t="s">
        <v>275</v>
      </c>
      <c r="B50" s="64" t="n">
        <v>46241.7291666667</v>
      </c>
      <c r="C50" s="64" t="n">
        <v>46244.2791666667</v>
      </c>
      <c r="D50" s="63" t="s">
        <v>191</v>
      </c>
      <c r="E50" s="63" t="s">
        <v>121</v>
      </c>
      <c r="F50" s="63" t="s">
        <v>257</v>
      </c>
      <c r="G50" s="63" t="s">
        <v>193</v>
      </c>
      <c r="H50" s="63"/>
      <c r="I50" s="65" t="n">
        <f aca="false">IF(OR($B50="",$C50=""),"",$C50-$B50)</f>
        <v>2.55</v>
      </c>
      <c r="J50" s="66" t="str">
        <f aca="false">IF($B50="","",IF(AND($B50&gt;=Targets!$C$7,$B50&lt;Targets!$C$8+1),"Yes","No"))</f>
        <v>Yes</v>
      </c>
      <c r="K50" s="65" t="n">
        <f aca="false">IF($J50="Yes",$I50,"")</f>
        <v>2.55</v>
      </c>
      <c r="L50" s="66" t="str">
        <f aca="false">IF($G50="","",IFERROR(INDEX($O$6:$O$25,MATCH($G50,$N$6:$N$25,0)),"Unknown dept"))</f>
        <v>Procurement</v>
      </c>
    </row>
    <row r="51" customFormat="false" ht="15" hidden="false" customHeight="true" outlineLevel="0" collapsed="false">
      <c r="A51" s="67" t="s">
        <v>276</v>
      </c>
      <c r="B51" s="68" t="n">
        <v>46242.46875</v>
      </c>
      <c r="C51" s="68" t="n">
        <v>46243.46875</v>
      </c>
      <c r="D51" s="67" t="s">
        <v>178</v>
      </c>
      <c r="E51" s="67" t="s">
        <v>121</v>
      </c>
      <c r="F51" s="67" t="s">
        <v>186</v>
      </c>
      <c r="G51" s="67" t="s">
        <v>214</v>
      </c>
      <c r="H51" s="67" t="s">
        <v>277</v>
      </c>
      <c r="I51" s="65" t="n">
        <f aca="false">IF(OR($B51="",$C51=""),"",$C51-$B51)</f>
        <v>1</v>
      </c>
      <c r="J51" s="66" t="str">
        <f aca="false">IF($B51="","",IF(AND($B51&gt;=Targets!$C$7,$B51&lt;Targets!$C$8+1),"Yes","No"))</f>
        <v>Yes</v>
      </c>
      <c r="K51" s="65" t="n">
        <f aca="false">IF($J51="Yes",$I51,"")</f>
        <v>1</v>
      </c>
      <c r="L51" s="66" t="str">
        <f aca="false">IF($G51="","",IFERROR(INDEX($O$6:$O$25,MATCH($G51,$N$6:$N$25,0)),"Unknown dept"))</f>
        <v>People</v>
      </c>
    </row>
    <row r="52" customFormat="false" ht="15" hidden="false" customHeight="true" outlineLevel="0" collapsed="false">
      <c r="A52" s="63" t="s">
        <v>278</v>
      </c>
      <c r="B52" s="64" t="n">
        <v>46242.5</v>
      </c>
      <c r="C52" s="64" t="n">
        <v>46245.3</v>
      </c>
      <c r="D52" s="63" t="s">
        <v>178</v>
      </c>
      <c r="E52" s="63" t="s">
        <v>121</v>
      </c>
      <c r="F52" s="63" t="s">
        <v>179</v>
      </c>
      <c r="G52" s="63" t="s">
        <v>199</v>
      </c>
      <c r="H52" s="63" t="s">
        <v>279</v>
      </c>
      <c r="I52" s="65" t="n">
        <f aca="false">IF(OR($B52="",$C52=""),"",$C52-$B52)</f>
        <v>2.8</v>
      </c>
      <c r="J52" s="66" t="str">
        <f aca="false">IF($B52="","",IF(AND($B52&gt;=Targets!$C$7,$B52&lt;Targets!$C$8+1),"Yes","No"))</f>
        <v>Yes</v>
      </c>
      <c r="K52" s="65" t="n">
        <f aca="false">IF($J52="Yes",$I52,"")</f>
        <v>2.8</v>
      </c>
      <c r="L52" s="66" t="str">
        <f aca="false">IF($G52="","",IFERROR(INDEX($O$6:$O$25,MATCH($G52,$N$6:$N$25,0)),"Unknown dept"))</f>
        <v>IT</v>
      </c>
    </row>
    <row r="53" customFormat="false" ht="15" hidden="false" customHeight="true" outlineLevel="0" collapsed="false">
      <c r="A53" s="67" t="s">
        <v>280</v>
      </c>
      <c r="B53" s="68" t="n">
        <v>46242.6458333333</v>
      </c>
      <c r="C53" s="68" t="n">
        <v>46243.6958333333</v>
      </c>
      <c r="D53" s="67" t="s">
        <v>191</v>
      </c>
      <c r="E53" s="67" t="s">
        <v>121</v>
      </c>
      <c r="F53" s="67" t="s">
        <v>228</v>
      </c>
      <c r="G53" s="67" t="s">
        <v>181</v>
      </c>
      <c r="H53" s="67"/>
      <c r="I53" s="65" t="n">
        <f aca="false">IF(OR($B53="",$C53=""),"",$C53-$B53)</f>
        <v>1.04999999998843</v>
      </c>
      <c r="J53" s="66" t="str">
        <f aca="false">IF($B53="","",IF(AND($B53&gt;=Targets!$C$7,$B53&lt;Targets!$C$8+1),"Yes","No"))</f>
        <v>Yes</v>
      </c>
      <c r="K53" s="65" t="n">
        <f aca="false">IF($J53="Yes",$I53,"")</f>
        <v>1.04999999998843</v>
      </c>
      <c r="L53" s="66" t="str">
        <f aca="false">IF($G53="","",IFERROR(INDEX($O$6:$O$25,MATCH($G53,$N$6:$N$25,0)),"Unknown dept"))</f>
        <v>Sales</v>
      </c>
    </row>
    <row r="54" customFormat="false" ht="15" hidden="false" customHeight="true" outlineLevel="0" collapsed="false">
      <c r="A54" s="63" t="s">
        <v>281</v>
      </c>
      <c r="B54" s="64" t="n">
        <v>46242.7048611111</v>
      </c>
      <c r="C54" s="64" t="n">
        <v>46243.1648611111</v>
      </c>
      <c r="D54" s="63" t="s">
        <v>178</v>
      </c>
      <c r="E54" s="63" t="s">
        <v>121</v>
      </c>
      <c r="F54" s="63" t="s">
        <v>224</v>
      </c>
      <c r="G54" s="63" t="s">
        <v>187</v>
      </c>
      <c r="H54" s="63" t="s">
        <v>282</v>
      </c>
      <c r="I54" s="65" t="n">
        <f aca="false">IF(OR($B54="",$C54=""),"",$C54-$B54)</f>
        <v>0.46</v>
      </c>
      <c r="J54" s="66" t="str">
        <f aca="false">IF($B54="","",IF(AND($B54&gt;=Targets!$C$7,$B54&lt;Targets!$C$8+1),"Yes","No"))</f>
        <v>Yes</v>
      </c>
      <c r="K54" s="65" t="n">
        <f aca="false">IF($J54="Yes",$I54,"")</f>
        <v>0.46</v>
      </c>
      <c r="L54" s="66" t="str">
        <f aca="false">IF($G54="","",IFERROR(INDEX($O$6:$O$25,MATCH($G54,$N$6:$N$25,0)),"Unknown dept"))</f>
        <v>Marketing</v>
      </c>
    </row>
    <row r="55" customFormat="false" ht="15" hidden="false" customHeight="true" outlineLevel="0" collapsed="false">
      <c r="A55" s="67" t="s">
        <v>283</v>
      </c>
      <c r="B55" s="68" t="n">
        <v>46243.34375</v>
      </c>
      <c r="C55" s="68" t="n">
        <v>46244.07375</v>
      </c>
      <c r="D55" s="67" t="s">
        <v>178</v>
      </c>
      <c r="E55" s="67" t="s">
        <v>121</v>
      </c>
      <c r="F55" s="67" t="s">
        <v>231</v>
      </c>
      <c r="G55" s="67" t="s">
        <v>205</v>
      </c>
      <c r="H55" s="67" t="s">
        <v>284</v>
      </c>
      <c r="I55" s="65" t="n">
        <f aca="false">IF(OR($B55="",$C55=""),"",$C55-$B55)</f>
        <v>0.73</v>
      </c>
      <c r="J55" s="66" t="str">
        <f aca="false">IF($B55="","",IF(AND($B55&gt;=Targets!$C$7,$B55&lt;Targets!$C$8+1),"Yes","No"))</f>
        <v>Yes</v>
      </c>
      <c r="K55" s="65" t="n">
        <f aca="false">IF($J55="Yes",$I55,"")</f>
        <v>0.73</v>
      </c>
      <c r="L55" s="66" t="str">
        <f aca="false">IF($G55="","",IFERROR(INDEX($O$6:$O$25,MATCH($G55,$N$6:$N$25,0)),"Unknown dept"))</f>
        <v>Finance</v>
      </c>
    </row>
    <row r="56" customFormat="false" ht="15" hidden="false" customHeight="true" outlineLevel="0" collapsed="false">
      <c r="A56" s="63" t="s">
        <v>285</v>
      </c>
      <c r="B56" s="64" t="n">
        <v>46243.3506944445</v>
      </c>
      <c r="C56" s="64" t="n">
        <v>46247.5506944444</v>
      </c>
      <c r="D56" s="63" t="s">
        <v>178</v>
      </c>
      <c r="E56" s="63" t="s">
        <v>121</v>
      </c>
      <c r="F56" s="63" t="s">
        <v>267</v>
      </c>
      <c r="G56" s="63" t="s">
        <v>205</v>
      </c>
      <c r="H56" s="63" t="s">
        <v>286</v>
      </c>
      <c r="I56" s="65" t="n">
        <f aca="false">IF(OR($B56="",$C56=""),"",$C56-$B56)</f>
        <v>4.2</v>
      </c>
      <c r="J56" s="66" t="str">
        <f aca="false">IF($B56="","",IF(AND($B56&gt;=Targets!$C$7,$B56&lt;Targets!$C$8+1),"Yes","No"))</f>
        <v>Yes</v>
      </c>
      <c r="K56" s="65" t="n">
        <f aca="false">IF($J56="Yes",$I56,"")</f>
        <v>4.2</v>
      </c>
      <c r="L56" s="66" t="str">
        <f aca="false">IF($G56="","",IFERROR(INDEX($O$6:$O$25,MATCH($G56,$N$6:$N$25,0)),"Unknown dept"))</f>
        <v>Finance</v>
      </c>
    </row>
    <row r="57" customFormat="false" ht="15" hidden="false" customHeight="true" outlineLevel="0" collapsed="false">
      <c r="A57" s="67" t="s">
        <v>287</v>
      </c>
      <c r="B57" s="68" t="n">
        <v>46243.4340277778</v>
      </c>
      <c r="C57" s="68" t="n">
        <v>46243.8240277778</v>
      </c>
      <c r="D57" s="67" t="s">
        <v>191</v>
      </c>
      <c r="E57" s="67" t="s">
        <v>121</v>
      </c>
      <c r="F57" s="67" t="s">
        <v>192</v>
      </c>
      <c r="G57" s="67" t="s">
        <v>187</v>
      </c>
      <c r="H57" s="67"/>
      <c r="I57" s="65" t="n">
        <f aca="false">IF(OR($B57="",$C57=""),"",$C57-$B57)</f>
        <v>0.39</v>
      </c>
      <c r="J57" s="66" t="str">
        <f aca="false">IF($B57="","",IF(AND($B57&gt;=Targets!$C$7,$B57&lt;Targets!$C$8+1),"Yes","No"))</f>
        <v>Yes</v>
      </c>
      <c r="K57" s="65" t="n">
        <f aca="false">IF($J57="Yes",$I57,"")</f>
        <v>0.39</v>
      </c>
      <c r="L57" s="66" t="str">
        <f aca="false">IF($G57="","",IFERROR(INDEX($O$6:$O$25,MATCH($G57,$N$6:$N$25,0)),"Unknown dept"))</f>
        <v>Marketing</v>
      </c>
    </row>
    <row r="58" customFormat="false" ht="15" hidden="false" customHeight="true" outlineLevel="0" collapsed="false">
      <c r="A58" s="63" t="s">
        <v>288</v>
      </c>
      <c r="B58" s="64" t="n">
        <v>46243.4375</v>
      </c>
      <c r="C58" s="64" t="n">
        <v>46246.5875</v>
      </c>
      <c r="D58" s="63" t="s">
        <v>191</v>
      </c>
      <c r="E58" s="63" t="s">
        <v>121</v>
      </c>
      <c r="F58" s="63" t="s">
        <v>242</v>
      </c>
      <c r="G58" s="63" t="s">
        <v>205</v>
      </c>
      <c r="H58" s="63"/>
      <c r="I58" s="65" t="n">
        <f aca="false">IF(OR($B58="",$C58=""),"",$C58-$B58)</f>
        <v>3.15</v>
      </c>
      <c r="J58" s="66" t="str">
        <f aca="false">IF($B58="","",IF(AND($B58&gt;=Targets!$C$7,$B58&lt;Targets!$C$8+1),"Yes","No"))</f>
        <v>Yes</v>
      </c>
      <c r="K58" s="65" t="n">
        <f aca="false">IF($J58="Yes",$I58,"")</f>
        <v>3.15</v>
      </c>
      <c r="L58" s="66" t="str">
        <f aca="false">IF($G58="","",IFERROR(INDEX($O$6:$O$25,MATCH($G58,$N$6:$N$25,0)),"Unknown dept"))</f>
        <v>Finance</v>
      </c>
    </row>
    <row r="59" customFormat="false" ht="15" hidden="false" customHeight="true" outlineLevel="0" collapsed="false">
      <c r="A59" s="67" t="s">
        <v>289</v>
      </c>
      <c r="B59" s="68" t="n">
        <v>46243.4652777778</v>
      </c>
      <c r="C59" s="68" t="n">
        <v>46247.5152777778</v>
      </c>
      <c r="D59" s="67" t="s">
        <v>178</v>
      </c>
      <c r="E59" s="67" t="s">
        <v>121</v>
      </c>
      <c r="F59" s="67" t="s">
        <v>267</v>
      </c>
      <c r="G59" s="67" t="s">
        <v>193</v>
      </c>
      <c r="H59" s="67" t="s">
        <v>290</v>
      </c>
      <c r="I59" s="65" t="n">
        <f aca="false">IF(OR($B59="",$C59=""),"",$C59-$B59)</f>
        <v>4.05</v>
      </c>
      <c r="J59" s="66" t="str">
        <f aca="false">IF($B59="","",IF(AND($B59&gt;=Targets!$C$7,$B59&lt;Targets!$C$8+1),"Yes","No"))</f>
        <v>Yes</v>
      </c>
      <c r="K59" s="65" t="n">
        <f aca="false">IF($J59="Yes",$I59,"")</f>
        <v>4.05</v>
      </c>
      <c r="L59" s="66" t="str">
        <f aca="false">IF($G59="","",IFERROR(INDEX($O$6:$O$25,MATCH($G59,$N$6:$N$25,0)),"Unknown dept"))</f>
        <v>Procurement</v>
      </c>
    </row>
    <row r="60" customFormat="false" ht="15" hidden="false" customHeight="true" outlineLevel="0" collapsed="false">
      <c r="A60" s="63" t="s">
        <v>291</v>
      </c>
      <c r="B60" s="64" t="n">
        <v>46243.71875</v>
      </c>
      <c r="C60" s="64" t="n">
        <v>46244.80875</v>
      </c>
      <c r="D60" s="63" t="s">
        <v>191</v>
      </c>
      <c r="E60" s="63" t="s">
        <v>121</v>
      </c>
      <c r="F60" s="63" t="s">
        <v>204</v>
      </c>
      <c r="G60" s="63" t="s">
        <v>193</v>
      </c>
      <c r="H60" s="63"/>
      <c r="I60" s="65" t="n">
        <f aca="false">IF(OR($B60="",$C60=""),"",$C60-$B60)</f>
        <v>1.09</v>
      </c>
      <c r="J60" s="66" t="str">
        <f aca="false">IF($B60="","",IF(AND($B60&gt;=Targets!$C$7,$B60&lt;Targets!$C$8+1),"Yes","No"))</f>
        <v>Yes</v>
      </c>
      <c r="K60" s="65" t="n">
        <f aca="false">IF($J60="Yes",$I60,"")</f>
        <v>1.09</v>
      </c>
      <c r="L60" s="66" t="str">
        <f aca="false">IF($G60="","",IFERROR(INDEX($O$6:$O$25,MATCH($G60,$N$6:$N$25,0)),"Unknown dept"))</f>
        <v>Procurement</v>
      </c>
    </row>
    <row r="61" customFormat="false" ht="15" hidden="false" customHeight="true" outlineLevel="0" collapsed="false">
      <c r="A61" s="67" t="s">
        <v>292</v>
      </c>
      <c r="B61" s="68" t="n">
        <v>46243.7291666667</v>
      </c>
      <c r="C61" s="68" t="n">
        <v>46246.3791666667</v>
      </c>
      <c r="D61" s="67" t="s">
        <v>191</v>
      </c>
      <c r="E61" s="67" t="s">
        <v>121</v>
      </c>
      <c r="F61" s="67" t="s">
        <v>224</v>
      </c>
      <c r="G61" s="67" t="s">
        <v>214</v>
      </c>
      <c r="H61" s="67"/>
      <c r="I61" s="65" t="n">
        <f aca="false">IF(OR($B61="",$C61=""),"",$C61-$B61)</f>
        <v>2.65000000001157</v>
      </c>
      <c r="J61" s="66" t="str">
        <f aca="false">IF($B61="","",IF(AND($B61&gt;=Targets!$C$7,$B61&lt;Targets!$C$8+1),"Yes","No"))</f>
        <v>Yes</v>
      </c>
      <c r="K61" s="65" t="n">
        <f aca="false">IF($J61="Yes",$I61,"")</f>
        <v>2.65000000001157</v>
      </c>
      <c r="L61" s="66" t="str">
        <f aca="false">IF($G61="","",IFERROR(INDEX($O$6:$O$25,MATCH($G61,$N$6:$N$25,0)),"Unknown dept"))</f>
        <v>People</v>
      </c>
    </row>
    <row r="62" customFormat="false" ht="15" hidden="false" customHeight="true" outlineLevel="0" collapsed="false">
      <c r="A62" s="63" t="s">
        <v>293</v>
      </c>
      <c r="B62" s="64" t="n">
        <v>46244.4027777778</v>
      </c>
      <c r="C62" s="64" t="n">
        <v>46245.2927777778</v>
      </c>
      <c r="D62" s="63" t="s">
        <v>178</v>
      </c>
      <c r="E62" s="63" t="s">
        <v>121</v>
      </c>
      <c r="F62" s="63" t="s">
        <v>257</v>
      </c>
      <c r="G62" s="63" t="s">
        <v>181</v>
      </c>
      <c r="H62" s="63" t="s">
        <v>294</v>
      </c>
      <c r="I62" s="65" t="n">
        <f aca="false">IF(OR($B62="",$C62=""),"",$C62-$B62)</f>
        <v>0.89</v>
      </c>
      <c r="J62" s="66" t="str">
        <f aca="false">IF($B62="","",IF(AND($B62&gt;=Targets!$C$7,$B62&lt;Targets!$C$8+1),"Yes","No"))</f>
        <v>Yes</v>
      </c>
      <c r="K62" s="65" t="n">
        <f aca="false">IF($J62="Yes",$I62,"")</f>
        <v>0.89</v>
      </c>
      <c r="L62" s="66" t="str">
        <f aca="false">IF($G62="","",IFERROR(INDEX($O$6:$O$25,MATCH($G62,$N$6:$N$25,0)),"Unknown dept"))</f>
        <v>Sales</v>
      </c>
    </row>
    <row r="63" customFormat="false" ht="15" hidden="false" customHeight="true" outlineLevel="0" collapsed="false">
      <c r="A63" s="67" t="s">
        <v>295</v>
      </c>
      <c r="B63" s="68" t="n">
        <v>46244.4548611111</v>
      </c>
      <c r="C63" s="68" t="n">
        <v>46248.1048611111</v>
      </c>
      <c r="D63" s="67" t="s">
        <v>178</v>
      </c>
      <c r="E63" s="67" t="s">
        <v>121</v>
      </c>
      <c r="F63" s="67" t="s">
        <v>186</v>
      </c>
      <c r="G63" s="67" t="s">
        <v>187</v>
      </c>
      <c r="H63" s="67" t="s">
        <v>296</v>
      </c>
      <c r="I63" s="65" t="n">
        <f aca="false">IF(OR($B63="",$C63=""),"",$C63-$B63)</f>
        <v>3.65</v>
      </c>
      <c r="J63" s="66" t="str">
        <f aca="false">IF($B63="","",IF(AND($B63&gt;=Targets!$C$7,$B63&lt;Targets!$C$8+1),"Yes","No"))</f>
        <v>Yes</v>
      </c>
      <c r="K63" s="65" t="n">
        <f aca="false">IF($J63="Yes",$I63,"")</f>
        <v>3.65</v>
      </c>
      <c r="L63" s="66" t="str">
        <f aca="false">IF($G63="","",IFERROR(INDEX($O$6:$O$25,MATCH($G63,$N$6:$N$25,0)),"Unknown dept"))</f>
        <v>Marketing</v>
      </c>
    </row>
    <row r="64" customFormat="false" ht="15" hidden="false" customHeight="true" outlineLevel="0" collapsed="false">
      <c r="A64" s="63" t="s">
        <v>297</v>
      </c>
      <c r="B64" s="64" t="n">
        <v>46244.6770833333</v>
      </c>
      <c r="C64" s="64" t="n">
        <v>46246.9270833333</v>
      </c>
      <c r="D64" s="63" t="s">
        <v>178</v>
      </c>
      <c r="E64" s="63" t="s">
        <v>121</v>
      </c>
      <c r="F64" s="63" t="s">
        <v>192</v>
      </c>
      <c r="G64" s="63" t="s">
        <v>180</v>
      </c>
      <c r="H64" s="63" t="s">
        <v>298</v>
      </c>
      <c r="I64" s="65" t="n">
        <f aca="false">IF(OR($B64="",$C64=""),"",$C64-$B64)</f>
        <v>2.25</v>
      </c>
      <c r="J64" s="66" t="str">
        <f aca="false">IF($B64="","",IF(AND($B64&gt;=Targets!$C$7,$B64&lt;Targets!$C$8+1),"Yes","No"))</f>
        <v>Yes</v>
      </c>
      <c r="K64" s="65" t="n">
        <f aca="false">IF($J64="Yes",$I64,"")</f>
        <v>2.25</v>
      </c>
      <c r="L64" s="66" t="str">
        <f aca="false">IF($G64="","",IFERROR(INDEX($O$6:$O$25,MATCH($G64,$N$6:$N$25,0)),"Unknown dept"))</f>
        <v>Operations</v>
      </c>
    </row>
    <row r="65" customFormat="false" ht="15" hidden="false" customHeight="true" outlineLevel="0" collapsed="false">
      <c r="A65" s="67" t="s">
        <v>299</v>
      </c>
      <c r="B65" s="68" t="n">
        <v>46245.4270833333</v>
      </c>
      <c r="C65" s="68" t="n">
        <v>46245.8670833333</v>
      </c>
      <c r="D65" s="67" t="s">
        <v>178</v>
      </c>
      <c r="E65" s="67" t="s">
        <v>121</v>
      </c>
      <c r="F65" s="67" t="s">
        <v>186</v>
      </c>
      <c r="G65" s="67" t="s">
        <v>180</v>
      </c>
      <c r="H65" s="67" t="s">
        <v>300</v>
      </c>
      <c r="I65" s="65" t="n">
        <f aca="false">IF(OR($B65="",$C65=""),"",$C65-$B65)</f>
        <v>0.439999999988426</v>
      </c>
      <c r="J65" s="66" t="str">
        <f aca="false">IF($B65="","",IF(AND($B65&gt;=Targets!$C$7,$B65&lt;Targets!$C$8+1),"Yes","No"))</f>
        <v>Yes</v>
      </c>
      <c r="K65" s="65" t="n">
        <f aca="false">IF($J65="Yes",$I65,"")</f>
        <v>0.439999999988426</v>
      </c>
      <c r="L65" s="66" t="str">
        <f aca="false">IF($G65="","",IFERROR(INDEX($O$6:$O$25,MATCH($G65,$N$6:$N$25,0)),"Unknown dept"))</f>
        <v>Operations</v>
      </c>
    </row>
    <row r="66" customFormat="false" ht="15" hidden="false" customHeight="true" outlineLevel="0" collapsed="false">
      <c r="A66" s="63" t="s">
        <v>301</v>
      </c>
      <c r="B66" s="64" t="n">
        <v>46245.53125</v>
      </c>
      <c r="C66" s="64" t="n">
        <v>46246.48125</v>
      </c>
      <c r="D66" s="63" t="s">
        <v>178</v>
      </c>
      <c r="E66" s="63" t="s">
        <v>121</v>
      </c>
      <c r="F66" s="63" t="s">
        <v>192</v>
      </c>
      <c r="G66" s="63" t="s">
        <v>180</v>
      </c>
      <c r="H66" s="63" t="s">
        <v>302</v>
      </c>
      <c r="I66" s="65" t="n">
        <f aca="false">IF(OR($B66="",$C66=""),"",$C66-$B66)</f>
        <v>0.95</v>
      </c>
      <c r="J66" s="66" t="str">
        <f aca="false">IF($B66="","",IF(AND($B66&gt;=Targets!$C$7,$B66&lt;Targets!$C$8+1),"Yes","No"))</f>
        <v>Yes</v>
      </c>
      <c r="K66" s="65" t="n">
        <f aca="false">IF($J66="Yes",$I66,"")</f>
        <v>0.95</v>
      </c>
      <c r="L66" s="66" t="str">
        <f aca="false">IF($G66="","",IFERROR(INDEX($O$6:$O$25,MATCH($G66,$N$6:$N$25,0)),"Unknown dept"))</f>
        <v>Operations</v>
      </c>
    </row>
    <row r="67" customFormat="false" ht="15" hidden="false" customHeight="true" outlineLevel="0" collapsed="false">
      <c r="A67" s="67" t="s">
        <v>303</v>
      </c>
      <c r="B67" s="68" t="n">
        <v>46245.5381944445</v>
      </c>
      <c r="C67" s="68" t="n">
        <v>46245.7981944445</v>
      </c>
      <c r="D67" s="67" t="s">
        <v>191</v>
      </c>
      <c r="E67" s="67" t="s">
        <v>121</v>
      </c>
      <c r="F67" s="67" t="s">
        <v>213</v>
      </c>
      <c r="G67" s="67" t="s">
        <v>214</v>
      </c>
      <c r="H67" s="67"/>
      <c r="I67" s="65" t="n">
        <f aca="false">IF(OR($B67="",$C67=""),"",$C67-$B67)</f>
        <v>0.26</v>
      </c>
      <c r="J67" s="66" t="str">
        <f aca="false">IF($B67="","",IF(AND($B67&gt;=Targets!$C$7,$B67&lt;Targets!$C$8+1),"Yes","No"))</f>
        <v>Yes</v>
      </c>
      <c r="K67" s="65" t="n">
        <f aca="false">IF($J67="Yes",$I67,"")</f>
        <v>0.26</v>
      </c>
      <c r="L67" s="66" t="str">
        <f aca="false">IF($G67="","",IFERROR(INDEX($O$6:$O$25,MATCH($G67,$N$6:$N$25,0)),"Unknown dept"))</f>
        <v>People</v>
      </c>
    </row>
    <row r="68" customFormat="false" ht="15" hidden="false" customHeight="true" outlineLevel="0" collapsed="false">
      <c r="A68" s="63" t="s">
        <v>304</v>
      </c>
      <c r="B68" s="64" t="n">
        <v>46245.6145833333</v>
      </c>
      <c r="C68" s="64" t="n">
        <v>46246.2545833333</v>
      </c>
      <c r="D68" s="63" t="s">
        <v>178</v>
      </c>
      <c r="E68" s="63" t="s">
        <v>121</v>
      </c>
      <c r="F68" s="63" t="s">
        <v>179</v>
      </c>
      <c r="G68" s="63" t="s">
        <v>193</v>
      </c>
      <c r="H68" s="63" t="s">
        <v>305</v>
      </c>
      <c r="I68" s="65" t="n">
        <f aca="false">IF(OR($B68="",$C68=""),"",$C68-$B68)</f>
        <v>0.64</v>
      </c>
      <c r="J68" s="66" t="str">
        <f aca="false">IF($B68="","",IF(AND($B68&gt;=Targets!$C$7,$B68&lt;Targets!$C$8+1),"Yes","No"))</f>
        <v>Yes</v>
      </c>
      <c r="K68" s="65" t="n">
        <f aca="false">IF($J68="Yes",$I68,"")</f>
        <v>0.64</v>
      </c>
      <c r="L68" s="66" t="str">
        <f aca="false">IF($G68="","",IFERROR(INDEX($O$6:$O$25,MATCH($G68,$N$6:$N$25,0)),"Unknown dept"))</f>
        <v>Procurement</v>
      </c>
    </row>
    <row r="69" customFormat="false" ht="15" hidden="false" customHeight="true" outlineLevel="0" collapsed="false">
      <c r="A69" s="67" t="s">
        <v>306</v>
      </c>
      <c r="B69" s="68" t="n">
        <v>46246.34375</v>
      </c>
      <c r="C69" s="68" t="n">
        <v>46247.54375</v>
      </c>
      <c r="D69" s="67" t="s">
        <v>191</v>
      </c>
      <c r="E69" s="67" t="s">
        <v>121</v>
      </c>
      <c r="F69" s="67" t="s">
        <v>222</v>
      </c>
      <c r="G69" s="67" t="s">
        <v>181</v>
      </c>
      <c r="H69" s="67"/>
      <c r="I69" s="65" t="n">
        <f aca="false">IF(OR($B69="",$C69=""),"",$C69-$B69)</f>
        <v>1.2</v>
      </c>
      <c r="J69" s="66" t="str">
        <f aca="false">IF($B69="","",IF(AND($B69&gt;=Targets!$C$7,$B69&lt;Targets!$C$8+1),"Yes","No"))</f>
        <v>Yes</v>
      </c>
      <c r="K69" s="65" t="n">
        <f aca="false">IF($J69="Yes",$I69,"")</f>
        <v>1.2</v>
      </c>
      <c r="L69" s="66" t="str">
        <f aca="false">IF($G69="","",IFERROR(INDEX($O$6:$O$25,MATCH($G69,$N$6:$N$25,0)),"Unknown dept"))</f>
        <v>Sales</v>
      </c>
    </row>
    <row r="70" customFormat="false" ht="15" hidden="false" customHeight="true" outlineLevel="0" collapsed="false">
      <c r="A70" s="63" t="s">
        <v>307</v>
      </c>
      <c r="B70" s="64" t="n">
        <v>46246.6423611111</v>
      </c>
      <c r="C70" s="64" t="n">
        <v>46247.7823611111</v>
      </c>
      <c r="D70" s="63" t="s">
        <v>178</v>
      </c>
      <c r="E70" s="63" t="s">
        <v>121</v>
      </c>
      <c r="F70" s="63" t="s">
        <v>192</v>
      </c>
      <c r="G70" s="63" t="s">
        <v>180</v>
      </c>
      <c r="H70" s="63" t="s">
        <v>308</v>
      </c>
      <c r="I70" s="65" t="n">
        <f aca="false">IF(OR($B70="",$C70=""),"",$C70-$B70)</f>
        <v>1.14</v>
      </c>
      <c r="J70" s="66" t="str">
        <f aca="false">IF($B70="","",IF(AND($B70&gt;=Targets!$C$7,$B70&lt;Targets!$C$8+1),"Yes","No"))</f>
        <v>Yes</v>
      </c>
      <c r="K70" s="65" t="n">
        <f aca="false">IF($J70="Yes",$I70,"")</f>
        <v>1.14</v>
      </c>
      <c r="L70" s="66" t="str">
        <f aca="false">IF($G70="","",IFERROR(INDEX($O$6:$O$25,MATCH($G70,$N$6:$N$25,0)),"Unknown dept"))</f>
        <v>Operations</v>
      </c>
    </row>
    <row r="71" customFormat="false" ht="15" hidden="false" customHeight="true" outlineLevel="0" collapsed="false">
      <c r="A71" s="67" t="s">
        <v>309</v>
      </c>
      <c r="B71" s="68" t="n">
        <v>46246.6736111111</v>
      </c>
      <c r="C71" s="68" t="n">
        <v>46248.1236111111</v>
      </c>
      <c r="D71" s="67" t="s">
        <v>191</v>
      </c>
      <c r="E71" s="67" t="s">
        <v>121</v>
      </c>
      <c r="F71" s="67" t="s">
        <v>218</v>
      </c>
      <c r="G71" s="67" t="s">
        <v>214</v>
      </c>
      <c r="H71" s="67"/>
      <c r="I71" s="65" t="n">
        <f aca="false">IF(OR($B71="",$C71=""),"",$C71-$B71)</f>
        <v>1.45</v>
      </c>
      <c r="J71" s="66" t="str">
        <f aca="false">IF($B71="","",IF(AND($B71&gt;=Targets!$C$7,$B71&lt;Targets!$C$8+1),"Yes","No"))</f>
        <v>Yes</v>
      </c>
      <c r="K71" s="65" t="n">
        <f aca="false">IF($J71="Yes",$I71,"")</f>
        <v>1.45</v>
      </c>
      <c r="L71" s="66" t="str">
        <f aca="false">IF($G71="","",IFERROR(INDEX($O$6:$O$25,MATCH($G71,$N$6:$N$25,0)),"Unknown dept"))</f>
        <v>People</v>
      </c>
    </row>
    <row r="72" customFormat="false" ht="15" hidden="false" customHeight="true" outlineLevel="0" collapsed="false">
      <c r="A72" s="63" t="s">
        <v>310</v>
      </c>
      <c r="B72" s="64" t="n">
        <v>46246.7152777778</v>
      </c>
      <c r="C72" s="64" t="n">
        <v>46247.9152777778</v>
      </c>
      <c r="D72" s="63" t="s">
        <v>191</v>
      </c>
      <c r="E72" s="63" t="s">
        <v>121</v>
      </c>
      <c r="F72" s="63" t="s">
        <v>254</v>
      </c>
      <c r="G72" s="63" t="s">
        <v>193</v>
      </c>
      <c r="H72" s="63"/>
      <c r="I72" s="65" t="n">
        <f aca="false">IF(OR($B72="",$C72=""),"",$C72-$B72)</f>
        <v>1.2</v>
      </c>
      <c r="J72" s="66" t="str">
        <f aca="false">IF($B72="","",IF(AND($B72&gt;=Targets!$C$7,$B72&lt;Targets!$C$8+1),"Yes","No"))</f>
        <v>Yes</v>
      </c>
      <c r="K72" s="65" t="n">
        <f aca="false">IF($J72="Yes",$I72,"")</f>
        <v>1.2</v>
      </c>
      <c r="L72" s="66" t="str">
        <f aca="false">IF($G72="","",IFERROR(INDEX($O$6:$O$25,MATCH($G72,$N$6:$N$25,0)),"Unknown dept"))</f>
        <v>Procurement</v>
      </c>
    </row>
    <row r="73" customFormat="false" ht="15" hidden="false" customHeight="true" outlineLevel="0" collapsed="false">
      <c r="A73" s="67" t="s">
        <v>311</v>
      </c>
      <c r="B73" s="68" t="n">
        <v>46247.5381944445</v>
      </c>
      <c r="C73" s="68" t="n">
        <v>46247.6881944445</v>
      </c>
      <c r="D73" s="67" t="s">
        <v>178</v>
      </c>
      <c r="E73" s="67" t="s">
        <v>121</v>
      </c>
      <c r="F73" s="67" t="s">
        <v>254</v>
      </c>
      <c r="G73" s="67" t="s">
        <v>180</v>
      </c>
      <c r="H73" s="67" t="s">
        <v>312</v>
      </c>
      <c r="I73" s="65" t="n">
        <f aca="false">IF(OR($B73="",$C73=""),"",$C73-$B73)</f>
        <v>0.15</v>
      </c>
      <c r="J73" s="66" t="str">
        <f aca="false">IF($B73="","",IF(AND($B73&gt;=Targets!$C$7,$B73&lt;Targets!$C$8+1),"Yes","No"))</f>
        <v>Yes</v>
      </c>
      <c r="K73" s="65" t="n">
        <f aca="false">IF($J73="Yes",$I73,"")</f>
        <v>0.15</v>
      </c>
      <c r="L73" s="66" t="str">
        <f aca="false">IF($G73="","",IFERROR(INDEX($O$6:$O$25,MATCH($G73,$N$6:$N$25,0)),"Unknown dept"))</f>
        <v>Operations</v>
      </c>
    </row>
    <row r="74" customFormat="false" ht="15" hidden="false" customHeight="true" outlineLevel="0" collapsed="false">
      <c r="A74" s="63" t="s">
        <v>313</v>
      </c>
      <c r="B74" s="64" t="n">
        <v>46247.6840277778</v>
      </c>
      <c r="C74" s="64" t="n">
        <v>46251.0840277778</v>
      </c>
      <c r="D74" s="63" t="s">
        <v>178</v>
      </c>
      <c r="E74" s="63" t="s">
        <v>121</v>
      </c>
      <c r="F74" s="63" t="s">
        <v>267</v>
      </c>
      <c r="G74" s="63" t="s">
        <v>187</v>
      </c>
      <c r="H74" s="63" t="s">
        <v>314</v>
      </c>
      <c r="I74" s="65" t="n">
        <f aca="false">IF(OR($B74="",$C74=""),"",$C74-$B74)</f>
        <v>3.4</v>
      </c>
      <c r="J74" s="66" t="str">
        <f aca="false">IF($B74="","",IF(AND($B74&gt;=Targets!$C$7,$B74&lt;Targets!$C$8+1),"Yes","No"))</f>
        <v>Yes</v>
      </c>
      <c r="K74" s="65" t="n">
        <f aca="false">IF($J74="Yes",$I74,"")</f>
        <v>3.4</v>
      </c>
      <c r="L74" s="66" t="str">
        <f aca="false">IF($G74="","",IFERROR(INDEX($O$6:$O$25,MATCH($G74,$N$6:$N$25,0)),"Unknown dept"))</f>
        <v>Marketing</v>
      </c>
    </row>
    <row r="75" customFormat="false" ht="15" hidden="false" customHeight="true" outlineLevel="0" collapsed="false">
      <c r="A75" s="67" t="s">
        <v>315</v>
      </c>
      <c r="B75" s="68" t="n">
        <v>46247.7256944445</v>
      </c>
      <c r="C75" s="68" t="n">
        <v>46249.2256944445</v>
      </c>
      <c r="D75" s="67" t="s">
        <v>191</v>
      </c>
      <c r="E75" s="67" t="s">
        <v>121</v>
      </c>
      <c r="F75" s="67" t="s">
        <v>213</v>
      </c>
      <c r="G75" s="67" t="s">
        <v>205</v>
      </c>
      <c r="H75" s="67"/>
      <c r="I75" s="65" t="n">
        <f aca="false">IF(OR($B75="",$C75=""),"",$C75-$B75)</f>
        <v>1.5</v>
      </c>
      <c r="J75" s="66" t="str">
        <f aca="false">IF($B75="","",IF(AND($B75&gt;=Targets!$C$7,$B75&lt;Targets!$C$8+1),"Yes","No"))</f>
        <v>Yes</v>
      </c>
      <c r="K75" s="65" t="n">
        <f aca="false">IF($J75="Yes",$I75,"")</f>
        <v>1.5</v>
      </c>
      <c r="L75" s="66" t="str">
        <f aca="false">IF($G75="","",IFERROR(INDEX($O$6:$O$25,MATCH($G75,$N$6:$N$25,0)),"Unknown dept"))</f>
        <v>Finance</v>
      </c>
    </row>
    <row r="76" customFormat="false" ht="15" hidden="false" customHeight="true" outlineLevel="0" collapsed="false">
      <c r="A76" s="63" t="s">
        <v>316</v>
      </c>
      <c r="B76" s="64" t="n">
        <v>46248.3645833333</v>
      </c>
      <c r="C76" s="64" t="n">
        <v>46251.7145833333</v>
      </c>
      <c r="D76" s="63" t="s">
        <v>203</v>
      </c>
      <c r="E76" s="63" t="s">
        <v>121</v>
      </c>
      <c r="F76" s="63" t="s">
        <v>222</v>
      </c>
      <c r="G76" s="63" t="s">
        <v>181</v>
      </c>
      <c r="H76" s="63"/>
      <c r="I76" s="65" t="n">
        <f aca="false">IF(OR($B76="",$C76=""),"",$C76-$B76)</f>
        <v>3.34999999998843</v>
      </c>
      <c r="J76" s="66" t="str">
        <f aca="false">IF($B76="","",IF(AND($B76&gt;=Targets!$C$7,$B76&lt;Targets!$C$8+1),"Yes","No"))</f>
        <v>Yes</v>
      </c>
      <c r="K76" s="65" t="n">
        <f aca="false">IF($J76="Yes",$I76,"")</f>
        <v>3.34999999998843</v>
      </c>
      <c r="L76" s="66" t="str">
        <f aca="false">IF($G76="","",IFERROR(INDEX($O$6:$O$25,MATCH($G76,$N$6:$N$25,0)),"Unknown dept"))</f>
        <v>Sales</v>
      </c>
    </row>
    <row r="77" customFormat="false" ht="15" hidden="false" customHeight="true" outlineLevel="0" collapsed="false">
      <c r="A77" s="67" t="s">
        <v>317</v>
      </c>
      <c r="B77" s="68" t="n">
        <v>46248.4444444445</v>
      </c>
      <c r="C77" s="68" t="n">
        <v>46250.4944444444</v>
      </c>
      <c r="D77" s="67" t="s">
        <v>178</v>
      </c>
      <c r="E77" s="67" t="s">
        <v>121</v>
      </c>
      <c r="F77" s="67" t="s">
        <v>242</v>
      </c>
      <c r="G77" s="67" t="s">
        <v>180</v>
      </c>
      <c r="H77" s="67" t="s">
        <v>318</v>
      </c>
      <c r="I77" s="65" t="n">
        <f aca="false">IF(OR($B77="",$C77=""),"",$C77-$B77)</f>
        <v>2.04999999998843</v>
      </c>
      <c r="J77" s="66" t="str">
        <f aca="false">IF($B77="","",IF(AND($B77&gt;=Targets!$C$7,$B77&lt;Targets!$C$8+1),"Yes","No"))</f>
        <v>Yes</v>
      </c>
      <c r="K77" s="65" t="n">
        <f aca="false">IF($J77="Yes",$I77,"")</f>
        <v>2.04999999998843</v>
      </c>
      <c r="L77" s="66" t="str">
        <f aca="false">IF($G77="","",IFERROR(INDEX($O$6:$O$25,MATCH($G77,$N$6:$N$25,0)),"Unknown dept"))</f>
        <v>Operations</v>
      </c>
    </row>
    <row r="78" customFormat="false" ht="15" hidden="false" customHeight="true" outlineLevel="0" collapsed="false">
      <c r="A78" s="63" t="s">
        <v>319</v>
      </c>
      <c r="B78" s="64" t="n">
        <v>46248.6770833333</v>
      </c>
      <c r="C78" s="64" t="n">
        <v>46252.7770833333</v>
      </c>
      <c r="D78" s="63" t="s">
        <v>191</v>
      </c>
      <c r="E78" s="63" t="s">
        <v>121</v>
      </c>
      <c r="F78" s="63" t="s">
        <v>222</v>
      </c>
      <c r="G78" s="63" t="s">
        <v>205</v>
      </c>
      <c r="H78" s="63"/>
      <c r="I78" s="65" t="n">
        <f aca="false">IF(OR($B78="",$C78=""),"",$C78-$B78)</f>
        <v>4.09999999998843</v>
      </c>
      <c r="J78" s="66" t="str">
        <f aca="false">IF($B78="","",IF(AND($B78&gt;=Targets!$C$7,$B78&lt;Targets!$C$8+1),"Yes","No"))</f>
        <v>Yes</v>
      </c>
      <c r="K78" s="65" t="n">
        <f aca="false">IF($J78="Yes",$I78,"")</f>
        <v>4.09999999998843</v>
      </c>
      <c r="L78" s="66" t="str">
        <f aca="false">IF($G78="","",IFERROR(INDEX($O$6:$O$25,MATCH($G78,$N$6:$N$25,0)),"Unknown dept"))</f>
        <v>Finance</v>
      </c>
    </row>
    <row r="79" customFormat="false" ht="15" hidden="false" customHeight="true" outlineLevel="0" collapsed="false">
      <c r="A79" s="67" t="s">
        <v>320</v>
      </c>
      <c r="B79" s="68" t="n">
        <v>46248.6840277778</v>
      </c>
      <c r="C79" s="68" t="n">
        <v>46250.5340277778</v>
      </c>
      <c r="D79" s="67" t="s">
        <v>178</v>
      </c>
      <c r="E79" s="67" t="s">
        <v>121</v>
      </c>
      <c r="F79" s="67" t="s">
        <v>228</v>
      </c>
      <c r="G79" s="67" t="s">
        <v>187</v>
      </c>
      <c r="H79" s="67" t="s">
        <v>321</v>
      </c>
      <c r="I79" s="65" t="n">
        <f aca="false">IF(OR($B79="",$C79=""),"",$C79-$B79)</f>
        <v>1.85</v>
      </c>
      <c r="J79" s="66" t="str">
        <f aca="false">IF($B79="","",IF(AND($B79&gt;=Targets!$C$7,$B79&lt;Targets!$C$8+1),"Yes","No"))</f>
        <v>Yes</v>
      </c>
      <c r="K79" s="65" t="n">
        <f aca="false">IF($J79="Yes",$I79,"")</f>
        <v>1.85</v>
      </c>
      <c r="L79" s="66" t="str">
        <f aca="false">IF($G79="","",IFERROR(INDEX($O$6:$O$25,MATCH($G79,$N$6:$N$25,0)),"Unknown dept"))</f>
        <v>Marketing</v>
      </c>
    </row>
    <row r="80" customFormat="false" ht="15" hidden="false" customHeight="true" outlineLevel="0" collapsed="false">
      <c r="A80" s="63" t="s">
        <v>322</v>
      </c>
      <c r="B80" s="64" t="n">
        <v>46249.3333333333</v>
      </c>
      <c r="C80" s="64" t="n">
        <v>46249.4533333333</v>
      </c>
      <c r="D80" s="63" t="s">
        <v>191</v>
      </c>
      <c r="E80" s="63" t="s">
        <v>121</v>
      </c>
      <c r="F80" s="63" t="s">
        <v>179</v>
      </c>
      <c r="G80" s="63" t="s">
        <v>187</v>
      </c>
      <c r="H80" s="63"/>
      <c r="I80" s="65" t="n">
        <f aca="false">IF(OR($B80="",$C80=""),"",$C80-$B80)</f>
        <v>0.119999999988426</v>
      </c>
      <c r="J80" s="66" t="str">
        <f aca="false">IF($B80="","",IF(AND($B80&gt;=Targets!$C$7,$B80&lt;Targets!$C$8+1),"Yes","No"))</f>
        <v>Yes</v>
      </c>
      <c r="K80" s="65" t="n">
        <f aca="false">IF($J80="Yes",$I80,"")</f>
        <v>0.119999999988426</v>
      </c>
      <c r="L80" s="66" t="str">
        <f aca="false">IF($G80="","",IFERROR(INDEX($O$6:$O$25,MATCH($G80,$N$6:$N$25,0)),"Unknown dept"))</f>
        <v>Marketing</v>
      </c>
    </row>
    <row r="81" customFormat="false" ht="15" hidden="false" customHeight="true" outlineLevel="0" collapsed="false">
      <c r="A81" s="67" t="s">
        <v>323</v>
      </c>
      <c r="B81" s="68" t="n">
        <v>46249.3715277778</v>
      </c>
      <c r="C81" s="68" t="n">
        <v>46251.3715277778</v>
      </c>
      <c r="D81" s="67" t="s">
        <v>178</v>
      </c>
      <c r="E81" s="67" t="s">
        <v>121</v>
      </c>
      <c r="F81" s="67" t="s">
        <v>257</v>
      </c>
      <c r="G81" s="67" t="s">
        <v>199</v>
      </c>
      <c r="H81" s="67" t="s">
        <v>324</v>
      </c>
      <c r="I81" s="65" t="n">
        <f aca="false">IF(OR($B81="",$C81=""),"",$C81-$B81)</f>
        <v>2</v>
      </c>
      <c r="J81" s="66" t="str">
        <f aca="false">IF($B81="","",IF(AND($B81&gt;=Targets!$C$7,$B81&lt;Targets!$C$8+1),"Yes","No"))</f>
        <v>Yes</v>
      </c>
      <c r="K81" s="65" t="n">
        <f aca="false">IF($J81="Yes",$I81,"")</f>
        <v>2</v>
      </c>
      <c r="L81" s="66" t="str">
        <f aca="false">IF($G81="","",IFERROR(INDEX($O$6:$O$25,MATCH($G81,$N$6:$N$25,0)),"Unknown dept"))</f>
        <v>IT</v>
      </c>
    </row>
    <row r="82" customFormat="false" ht="15" hidden="false" customHeight="true" outlineLevel="0" collapsed="false">
      <c r="A82" s="63" t="s">
        <v>325</v>
      </c>
      <c r="B82" s="64" t="n">
        <v>46249.6354166667</v>
      </c>
      <c r="C82" s="64" t="n">
        <v>46252.5354166667</v>
      </c>
      <c r="D82" s="63" t="s">
        <v>178</v>
      </c>
      <c r="E82" s="63" t="s">
        <v>121</v>
      </c>
      <c r="F82" s="63" t="s">
        <v>186</v>
      </c>
      <c r="G82" s="63" t="s">
        <v>181</v>
      </c>
      <c r="H82" s="63" t="s">
        <v>326</v>
      </c>
      <c r="I82" s="65" t="n">
        <f aca="false">IF(OR($B82="",$C82=""),"",$C82-$B82)</f>
        <v>2.90000000001157</v>
      </c>
      <c r="J82" s="66" t="str">
        <f aca="false">IF($B82="","",IF(AND($B82&gt;=Targets!$C$7,$B82&lt;Targets!$C$8+1),"Yes","No"))</f>
        <v>Yes</v>
      </c>
      <c r="K82" s="65" t="n">
        <f aca="false">IF($J82="Yes",$I82,"")</f>
        <v>2.90000000001157</v>
      </c>
      <c r="L82" s="66" t="str">
        <f aca="false">IF($G82="","",IFERROR(INDEX($O$6:$O$25,MATCH($G82,$N$6:$N$25,0)),"Unknown dept"))</f>
        <v>Sales</v>
      </c>
    </row>
    <row r="83" customFormat="false" ht="15" hidden="false" customHeight="true" outlineLevel="0" collapsed="false">
      <c r="A83" s="67" t="s">
        <v>327</v>
      </c>
      <c r="B83" s="68" t="n">
        <v>46249.7361111111</v>
      </c>
      <c r="C83" s="68" t="n">
        <v>46253.7361111111</v>
      </c>
      <c r="D83" s="67" t="s">
        <v>191</v>
      </c>
      <c r="E83" s="67" t="s">
        <v>121</v>
      </c>
      <c r="F83" s="67" t="s">
        <v>192</v>
      </c>
      <c r="G83" s="67" t="s">
        <v>193</v>
      </c>
      <c r="H83" s="67"/>
      <c r="I83" s="65" t="n">
        <f aca="false">IF(OR($B83="",$C83=""),"",$C83-$B83)</f>
        <v>4</v>
      </c>
      <c r="J83" s="66" t="str">
        <f aca="false">IF($B83="","",IF(AND($B83&gt;=Targets!$C$7,$B83&lt;Targets!$C$8+1),"Yes","No"))</f>
        <v>Yes</v>
      </c>
      <c r="K83" s="65" t="n">
        <f aca="false">IF($J83="Yes",$I83,"")</f>
        <v>4</v>
      </c>
      <c r="L83" s="66" t="str">
        <f aca="false">IF($G83="","",IFERROR(INDEX($O$6:$O$25,MATCH($G83,$N$6:$N$25,0)),"Unknown dept"))</f>
        <v>Procurement</v>
      </c>
    </row>
    <row r="84" customFormat="false" ht="15" hidden="false" customHeight="true" outlineLevel="0" collapsed="false">
      <c r="A84" s="63" t="s">
        <v>328</v>
      </c>
      <c r="B84" s="64" t="n">
        <v>46250.34375</v>
      </c>
      <c r="C84" s="64" t="n">
        <v>46253.64375</v>
      </c>
      <c r="D84" s="63" t="s">
        <v>178</v>
      </c>
      <c r="E84" s="63" t="s">
        <v>121</v>
      </c>
      <c r="F84" s="63" t="s">
        <v>204</v>
      </c>
      <c r="G84" s="63" t="s">
        <v>194</v>
      </c>
      <c r="H84" s="63" t="s">
        <v>329</v>
      </c>
      <c r="I84" s="65" t="n">
        <f aca="false">IF(OR($B84="",$C84=""),"",$C84-$B84)</f>
        <v>3.3</v>
      </c>
      <c r="J84" s="66" t="str">
        <f aca="false">IF($B84="","",IF(AND($B84&gt;=Targets!$C$7,$B84&lt;Targets!$C$8+1),"Yes","No"))</f>
        <v>Yes</v>
      </c>
      <c r="K84" s="65" t="n">
        <f aca="false">IF($J84="Yes",$I84,"")</f>
        <v>3.3</v>
      </c>
      <c r="L84" s="66" t="str">
        <f aca="false">IF($G84="","",IFERROR(INDEX($O$6:$O$25,MATCH($G84,$N$6:$N$25,0)),"Unknown dept"))</f>
        <v>Engineering</v>
      </c>
    </row>
    <row r="85" customFormat="false" ht="15" hidden="false" customHeight="true" outlineLevel="0" collapsed="false">
      <c r="A85" s="67" t="s">
        <v>330</v>
      </c>
      <c r="B85" s="68" t="n">
        <v>46250.4270833333</v>
      </c>
      <c r="C85" s="68" t="n">
        <v>46250.7470833333</v>
      </c>
      <c r="D85" s="67" t="s">
        <v>178</v>
      </c>
      <c r="E85" s="67" t="s">
        <v>121</v>
      </c>
      <c r="F85" s="67" t="s">
        <v>228</v>
      </c>
      <c r="G85" s="67" t="s">
        <v>187</v>
      </c>
      <c r="H85" s="67" t="s">
        <v>331</v>
      </c>
      <c r="I85" s="65" t="n">
        <f aca="false">IF(OR($B85="",$C85=""),"",$C85-$B85)</f>
        <v>0.32</v>
      </c>
      <c r="J85" s="66" t="str">
        <f aca="false">IF($B85="","",IF(AND($B85&gt;=Targets!$C$7,$B85&lt;Targets!$C$8+1),"Yes","No"))</f>
        <v>Yes</v>
      </c>
      <c r="K85" s="65" t="n">
        <f aca="false">IF($J85="Yes",$I85,"")</f>
        <v>0.32</v>
      </c>
      <c r="L85" s="66" t="str">
        <f aca="false">IF($G85="","",IFERROR(INDEX($O$6:$O$25,MATCH($G85,$N$6:$N$25,0)),"Unknown dept"))</f>
        <v>Marketing</v>
      </c>
    </row>
    <row r="86" customFormat="false" ht="15" hidden="false" customHeight="true" outlineLevel="0" collapsed="false">
      <c r="A86" s="63" t="s">
        <v>332</v>
      </c>
      <c r="B86" s="64" t="n">
        <v>46250.5</v>
      </c>
      <c r="C86" s="64" t="n">
        <v>46250.8</v>
      </c>
      <c r="D86" s="63" t="s">
        <v>178</v>
      </c>
      <c r="E86" s="63" t="s">
        <v>121</v>
      </c>
      <c r="F86" s="63" t="s">
        <v>204</v>
      </c>
      <c r="G86" s="63" t="s">
        <v>193</v>
      </c>
      <c r="H86" s="63" t="s">
        <v>333</v>
      </c>
      <c r="I86" s="65" t="n">
        <f aca="false">IF(OR($B86="",$C86=""),"",$C86-$B86)</f>
        <v>0.3</v>
      </c>
      <c r="J86" s="66" t="str">
        <f aca="false">IF($B86="","",IF(AND($B86&gt;=Targets!$C$7,$B86&lt;Targets!$C$8+1),"Yes","No"))</f>
        <v>Yes</v>
      </c>
      <c r="K86" s="65" t="n">
        <f aca="false">IF($J86="Yes",$I86,"")</f>
        <v>0.3</v>
      </c>
      <c r="L86" s="66" t="str">
        <f aca="false">IF($G86="","",IFERROR(INDEX($O$6:$O$25,MATCH($G86,$N$6:$N$25,0)),"Unknown dept"))</f>
        <v>Procurement</v>
      </c>
    </row>
    <row r="87" customFormat="false" ht="15" hidden="false" customHeight="true" outlineLevel="0" collapsed="false">
      <c r="A87" s="67" t="s">
        <v>334</v>
      </c>
      <c r="B87" s="68" t="n">
        <v>46250.7152777778</v>
      </c>
      <c r="C87" s="68" t="n">
        <v>46254.5652777778</v>
      </c>
      <c r="D87" s="67" t="s">
        <v>178</v>
      </c>
      <c r="E87" s="67" t="s">
        <v>121</v>
      </c>
      <c r="F87" s="67" t="s">
        <v>192</v>
      </c>
      <c r="G87" s="67" t="s">
        <v>181</v>
      </c>
      <c r="H87" s="67" t="s">
        <v>335</v>
      </c>
      <c r="I87" s="65" t="n">
        <f aca="false">IF(OR($B87="",$C87=""),"",$C87-$B87)</f>
        <v>3.85</v>
      </c>
      <c r="J87" s="66" t="str">
        <f aca="false">IF($B87="","",IF(AND($B87&gt;=Targets!$C$7,$B87&lt;Targets!$C$8+1),"Yes","No"))</f>
        <v>Yes</v>
      </c>
      <c r="K87" s="65" t="n">
        <f aca="false">IF($J87="Yes",$I87,"")</f>
        <v>3.85</v>
      </c>
      <c r="L87" s="66" t="str">
        <f aca="false">IF($G87="","",IFERROR(INDEX($O$6:$O$25,MATCH($G87,$N$6:$N$25,0)),"Unknown dept"))</f>
        <v>Sales</v>
      </c>
    </row>
    <row r="88" customFormat="false" ht="15" hidden="false" customHeight="true" outlineLevel="0" collapsed="false">
      <c r="A88" s="63" t="s">
        <v>336</v>
      </c>
      <c r="B88" s="64" t="n">
        <v>46250.7152777778</v>
      </c>
      <c r="C88" s="64" t="n">
        <v>46251.7552777778</v>
      </c>
      <c r="D88" s="63" t="s">
        <v>178</v>
      </c>
      <c r="E88" s="63" t="s">
        <v>121</v>
      </c>
      <c r="F88" s="63" t="s">
        <v>218</v>
      </c>
      <c r="G88" s="63" t="s">
        <v>193</v>
      </c>
      <c r="H88" s="63" t="s">
        <v>337</v>
      </c>
      <c r="I88" s="65" t="n">
        <f aca="false">IF(OR($B88="",$C88=""),"",$C88-$B88)</f>
        <v>1.03999999998843</v>
      </c>
      <c r="J88" s="66" t="str">
        <f aca="false">IF($B88="","",IF(AND($B88&gt;=Targets!$C$7,$B88&lt;Targets!$C$8+1),"Yes","No"))</f>
        <v>Yes</v>
      </c>
      <c r="K88" s="65" t="n">
        <f aca="false">IF($J88="Yes",$I88,"")</f>
        <v>1.03999999998843</v>
      </c>
      <c r="L88" s="66" t="str">
        <f aca="false">IF($G88="","",IFERROR(INDEX($O$6:$O$25,MATCH($G88,$N$6:$N$25,0)),"Unknown dept"))</f>
        <v>Procurement</v>
      </c>
    </row>
    <row r="89" customFormat="false" ht="15" hidden="false" customHeight="true" outlineLevel="0" collapsed="false">
      <c r="A89" s="67" t="s">
        <v>338</v>
      </c>
      <c r="B89" s="68" t="n">
        <v>46251.3506944445</v>
      </c>
      <c r="C89" s="68" t="n">
        <v>46251.7706944444</v>
      </c>
      <c r="D89" s="67" t="s">
        <v>203</v>
      </c>
      <c r="E89" s="67" t="s">
        <v>121</v>
      </c>
      <c r="F89" s="67" t="s">
        <v>254</v>
      </c>
      <c r="G89" s="67" t="s">
        <v>180</v>
      </c>
      <c r="H89" s="67"/>
      <c r="I89" s="65" t="n">
        <f aca="false">IF(OR($B89="",$C89=""),"",$C89-$B89)</f>
        <v>0.42</v>
      </c>
      <c r="J89" s="66" t="str">
        <f aca="false">IF($B89="","",IF(AND($B89&gt;=Targets!$C$7,$B89&lt;Targets!$C$8+1),"Yes","No"))</f>
        <v>Yes</v>
      </c>
      <c r="K89" s="65" t="n">
        <f aca="false">IF($J89="Yes",$I89,"")</f>
        <v>0.42</v>
      </c>
      <c r="L89" s="66" t="str">
        <f aca="false">IF($G89="","",IFERROR(INDEX($O$6:$O$25,MATCH($G89,$N$6:$N$25,0)),"Unknown dept"))</f>
        <v>Operations</v>
      </c>
    </row>
    <row r="90" customFormat="false" ht="15" hidden="false" customHeight="true" outlineLevel="0" collapsed="false">
      <c r="A90" s="63" t="s">
        <v>339</v>
      </c>
      <c r="B90" s="64" t="n">
        <v>46251.3715277778</v>
      </c>
      <c r="C90" s="64" t="n">
        <v>46255.5215277778</v>
      </c>
      <c r="D90" s="63" t="s">
        <v>178</v>
      </c>
      <c r="E90" s="63" t="s">
        <v>121</v>
      </c>
      <c r="F90" s="63" t="s">
        <v>231</v>
      </c>
      <c r="G90" s="63" t="s">
        <v>199</v>
      </c>
      <c r="H90" s="63" t="s">
        <v>340</v>
      </c>
      <c r="I90" s="65" t="n">
        <f aca="false">IF(OR($B90="",$C90=""),"",$C90-$B90)</f>
        <v>4.15</v>
      </c>
      <c r="J90" s="66" t="str">
        <f aca="false">IF($B90="","",IF(AND($B90&gt;=Targets!$C$7,$B90&lt;Targets!$C$8+1),"Yes","No"))</f>
        <v>Yes</v>
      </c>
      <c r="K90" s="65" t="n">
        <f aca="false">IF($J90="Yes",$I90,"")</f>
        <v>4.15</v>
      </c>
      <c r="L90" s="66" t="str">
        <f aca="false">IF($G90="","",IFERROR(INDEX($O$6:$O$25,MATCH($G90,$N$6:$N$25,0)),"Unknown dept"))</f>
        <v>IT</v>
      </c>
    </row>
    <row r="91" customFormat="false" ht="15" hidden="false" customHeight="true" outlineLevel="0" collapsed="false">
      <c r="A91" s="67" t="s">
        <v>341</v>
      </c>
      <c r="B91" s="68" t="n">
        <v>46251.4340277778</v>
      </c>
      <c r="C91" s="68" t="n">
        <v>46252.1440277778</v>
      </c>
      <c r="D91" s="67" t="s">
        <v>191</v>
      </c>
      <c r="E91" s="67" t="s">
        <v>121</v>
      </c>
      <c r="F91" s="67" t="s">
        <v>257</v>
      </c>
      <c r="G91" s="67" t="s">
        <v>199</v>
      </c>
      <c r="H91" s="67"/>
      <c r="I91" s="65" t="n">
        <f aca="false">IF(OR($B91="",$C91=""),"",$C91-$B91)</f>
        <v>0.71</v>
      </c>
      <c r="J91" s="66" t="str">
        <f aca="false">IF($B91="","",IF(AND($B91&gt;=Targets!$C$7,$B91&lt;Targets!$C$8+1),"Yes","No"))</f>
        <v>Yes</v>
      </c>
      <c r="K91" s="65" t="n">
        <f aca="false">IF($J91="Yes",$I91,"")</f>
        <v>0.71</v>
      </c>
      <c r="L91" s="66" t="str">
        <f aca="false">IF($G91="","",IFERROR(INDEX($O$6:$O$25,MATCH($G91,$N$6:$N$25,0)),"Unknown dept"))</f>
        <v>IT</v>
      </c>
    </row>
    <row r="92" customFormat="false" ht="15" hidden="false" customHeight="true" outlineLevel="0" collapsed="false">
      <c r="A92" s="63" t="s">
        <v>342</v>
      </c>
      <c r="B92" s="64" t="n">
        <v>46251.5104166667</v>
      </c>
      <c r="C92" s="64" t="n">
        <v>46252.3504166667</v>
      </c>
      <c r="D92" s="63" t="s">
        <v>178</v>
      </c>
      <c r="E92" s="63" t="s">
        <v>121</v>
      </c>
      <c r="F92" s="63" t="s">
        <v>257</v>
      </c>
      <c r="G92" s="63" t="s">
        <v>180</v>
      </c>
      <c r="H92" s="63" t="s">
        <v>343</v>
      </c>
      <c r="I92" s="65" t="n">
        <f aca="false">IF(OR($B92="",$C92=""),"",$C92-$B92)</f>
        <v>0.84</v>
      </c>
      <c r="J92" s="66" t="str">
        <f aca="false">IF($B92="","",IF(AND($B92&gt;=Targets!$C$7,$B92&lt;Targets!$C$8+1),"Yes","No"))</f>
        <v>Yes</v>
      </c>
      <c r="K92" s="65" t="n">
        <f aca="false">IF($J92="Yes",$I92,"")</f>
        <v>0.84</v>
      </c>
      <c r="L92" s="66" t="str">
        <f aca="false">IF($G92="","",IFERROR(INDEX($O$6:$O$25,MATCH($G92,$N$6:$N$25,0)),"Unknown dept"))</f>
        <v>Operations</v>
      </c>
    </row>
    <row r="93" customFormat="false" ht="15" hidden="false" customHeight="true" outlineLevel="0" collapsed="false">
      <c r="A93" s="67" t="s">
        <v>344</v>
      </c>
      <c r="B93" s="68" t="n">
        <v>46251.5173611111</v>
      </c>
      <c r="C93" s="68" t="n">
        <v>46251.7273611111</v>
      </c>
      <c r="D93" s="67" t="s">
        <v>191</v>
      </c>
      <c r="E93" s="67" t="s">
        <v>121</v>
      </c>
      <c r="F93" s="67" t="s">
        <v>222</v>
      </c>
      <c r="G93" s="67" t="s">
        <v>180</v>
      </c>
      <c r="H93" s="67"/>
      <c r="I93" s="65" t="n">
        <f aca="false">IF(OR($B93="",$C93=""),"",$C93-$B93)</f>
        <v>0.21</v>
      </c>
      <c r="J93" s="66" t="str">
        <f aca="false">IF($B93="","",IF(AND($B93&gt;=Targets!$C$7,$B93&lt;Targets!$C$8+1),"Yes","No"))</f>
        <v>Yes</v>
      </c>
      <c r="K93" s="65" t="n">
        <f aca="false">IF($J93="Yes",$I93,"")</f>
        <v>0.21</v>
      </c>
      <c r="L93" s="66" t="str">
        <f aca="false">IF($G93="","",IFERROR(INDEX($O$6:$O$25,MATCH($G93,$N$6:$N$25,0)),"Unknown dept"))</f>
        <v>Operations</v>
      </c>
    </row>
    <row r="94" customFormat="false" ht="15" hidden="false" customHeight="true" outlineLevel="0" collapsed="false">
      <c r="A94" s="63" t="s">
        <v>345</v>
      </c>
      <c r="B94" s="64" t="n">
        <v>46251.5486111111</v>
      </c>
      <c r="C94" s="64" t="n">
        <v>46252.4786111111</v>
      </c>
      <c r="D94" s="63" t="s">
        <v>191</v>
      </c>
      <c r="E94" s="63" t="s">
        <v>121</v>
      </c>
      <c r="F94" s="63" t="s">
        <v>224</v>
      </c>
      <c r="G94" s="63" t="s">
        <v>181</v>
      </c>
      <c r="H94" s="63"/>
      <c r="I94" s="65" t="n">
        <f aca="false">IF(OR($B94="",$C94=""),"",$C94-$B94)</f>
        <v>0.93</v>
      </c>
      <c r="J94" s="66" t="str">
        <f aca="false">IF($B94="","",IF(AND($B94&gt;=Targets!$C$7,$B94&lt;Targets!$C$8+1),"Yes","No"))</f>
        <v>Yes</v>
      </c>
      <c r="K94" s="65" t="n">
        <f aca="false">IF($J94="Yes",$I94,"")</f>
        <v>0.93</v>
      </c>
      <c r="L94" s="66" t="str">
        <f aca="false">IF($G94="","",IFERROR(INDEX($O$6:$O$25,MATCH($G94,$N$6:$N$25,0)),"Unknown dept"))</f>
        <v>Sales</v>
      </c>
    </row>
    <row r="95" customFormat="false" ht="15" hidden="false" customHeight="true" outlineLevel="0" collapsed="false">
      <c r="A95" s="67" t="s">
        <v>346</v>
      </c>
      <c r="B95" s="68" t="n">
        <v>46251.6458333333</v>
      </c>
      <c r="C95" s="68" t="n">
        <v>46252.2158333333</v>
      </c>
      <c r="D95" s="67" t="s">
        <v>178</v>
      </c>
      <c r="E95" s="67" t="s">
        <v>121</v>
      </c>
      <c r="F95" s="67" t="s">
        <v>186</v>
      </c>
      <c r="G95" s="67" t="s">
        <v>181</v>
      </c>
      <c r="H95" s="67" t="s">
        <v>347</v>
      </c>
      <c r="I95" s="65" t="n">
        <f aca="false">IF(OR($B95="",$C95=""),"",$C95-$B95)</f>
        <v>0.57</v>
      </c>
      <c r="J95" s="66" t="str">
        <f aca="false">IF($B95="","",IF(AND($B95&gt;=Targets!$C$7,$B95&lt;Targets!$C$8+1),"Yes","No"))</f>
        <v>Yes</v>
      </c>
      <c r="K95" s="65" t="n">
        <f aca="false">IF($J95="Yes",$I95,"")</f>
        <v>0.57</v>
      </c>
      <c r="L95" s="66" t="str">
        <f aca="false">IF($G95="","",IFERROR(INDEX($O$6:$O$25,MATCH($G95,$N$6:$N$25,0)),"Unknown dept"))</f>
        <v>Sales</v>
      </c>
    </row>
    <row r="96" customFormat="false" ht="15" hidden="false" customHeight="true" outlineLevel="0" collapsed="false">
      <c r="A96" s="63" t="s">
        <v>348</v>
      </c>
      <c r="B96" s="64" t="n">
        <v>46252.4965277778</v>
      </c>
      <c r="C96" s="64" t="n">
        <v>46253.4565277778</v>
      </c>
      <c r="D96" s="63" t="s">
        <v>178</v>
      </c>
      <c r="E96" s="63" t="s">
        <v>121</v>
      </c>
      <c r="F96" s="63" t="s">
        <v>213</v>
      </c>
      <c r="G96" s="63" t="s">
        <v>214</v>
      </c>
      <c r="H96" s="63" t="s">
        <v>349</v>
      </c>
      <c r="I96" s="65" t="n">
        <f aca="false">IF(OR($B96="",$C96=""),"",$C96-$B96)</f>
        <v>0.96</v>
      </c>
      <c r="J96" s="66" t="str">
        <f aca="false">IF($B96="","",IF(AND($B96&gt;=Targets!$C$7,$B96&lt;Targets!$C$8+1),"Yes","No"))</f>
        <v>Yes</v>
      </c>
      <c r="K96" s="65" t="n">
        <f aca="false">IF($J96="Yes",$I96,"")</f>
        <v>0.96</v>
      </c>
      <c r="L96" s="66" t="str">
        <f aca="false">IF($G96="","",IFERROR(INDEX($O$6:$O$25,MATCH($G96,$N$6:$N$25,0)),"Unknown dept"))</f>
        <v>People</v>
      </c>
    </row>
    <row r="97" customFormat="false" ht="15" hidden="false" customHeight="true" outlineLevel="0" collapsed="false">
      <c r="A97" s="67" t="s">
        <v>350</v>
      </c>
      <c r="B97" s="68" t="n">
        <v>46252.5</v>
      </c>
      <c r="C97" s="68" t="n">
        <v>46255.5</v>
      </c>
      <c r="D97" s="67" t="s">
        <v>178</v>
      </c>
      <c r="E97" s="67" t="s">
        <v>121</v>
      </c>
      <c r="F97" s="67" t="s">
        <v>228</v>
      </c>
      <c r="G97" s="67" t="s">
        <v>199</v>
      </c>
      <c r="H97" s="67" t="s">
        <v>351</v>
      </c>
      <c r="I97" s="65" t="n">
        <f aca="false">IF(OR($B97="",$C97=""),"",$C97-$B97)</f>
        <v>3</v>
      </c>
      <c r="J97" s="66" t="str">
        <f aca="false">IF($B97="","",IF(AND($B97&gt;=Targets!$C$7,$B97&lt;Targets!$C$8+1),"Yes","No"))</f>
        <v>Yes</v>
      </c>
      <c r="K97" s="65" t="n">
        <f aca="false">IF($J97="Yes",$I97,"")</f>
        <v>3</v>
      </c>
      <c r="L97" s="66" t="str">
        <f aca="false">IF($G97="","",IFERROR(INDEX($O$6:$O$25,MATCH($G97,$N$6:$N$25,0)),"Unknown dept"))</f>
        <v>IT</v>
      </c>
    </row>
    <row r="98" customFormat="false" ht="15" hidden="false" customHeight="true" outlineLevel="0" collapsed="false">
      <c r="A98" s="63" t="s">
        <v>352</v>
      </c>
      <c r="B98" s="64" t="n">
        <v>46252.6006944445</v>
      </c>
      <c r="C98" s="64" t="n">
        <v>46253.0106944444</v>
      </c>
      <c r="D98" s="63" t="s">
        <v>178</v>
      </c>
      <c r="E98" s="63" t="s">
        <v>121</v>
      </c>
      <c r="F98" s="63" t="s">
        <v>222</v>
      </c>
      <c r="G98" s="63" t="s">
        <v>199</v>
      </c>
      <c r="H98" s="63" t="s">
        <v>353</v>
      </c>
      <c r="I98" s="65" t="n">
        <f aca="false">IF(OR($B98="",$C98=""),"",$C98-$B98)</f>
        <v>0.41</v>
      </c>
      <c r="J98" s="66" t="str">
        <f aca="false">IF($B98="","",IF(AND($B98&gt;=Targets!$C$7,$B98&lt;Targets!$C$8+1),"Yes","No"))</f>
        <v>Yes</v>
      </c>
      <c r="K98" s="65" t="n">
        <f aca="false">IF($J98="Yes",$I98,"")</f>
        <v>0.41</v>
      </c>
      <c r="L98" s="66" t="str">
        <f aca="false">IF($G98="","",IFERROR(INDEX($O$6:$O$25,MATCH($G98,$N$6:$N$25,0)),"Unknown dept"))</f>
        <v>IT</v>
      </c>
    </row>
    <row r="99" customFormat="false" ht="15" hidden="false" customHeight="true" outlineLevel="0" collapsed="false">
      <c r="A99" s="67" t="s">
        <v>354</v>
      </c>
      <c r="B99" s="68" t="n">
        <v>46253.3923611111</v>
      </c>
      <c r="C99" s="68" t="n">
        <v>46257.2923611111</v>
      </c>
      <c r="D99" s="67" t="s">
        <v>203</v>
      </c>
      <c r="E99" s="67" t="s">
        <v>121</v>
      </c>
      <c r="F99" s="67" t="s">
        <v>254</v>
      </c>
      <c r="G99" s="67" t="s">
        <v>205</v>
      </c>
      <c r="H99" s="67"/>
      <c r="I99" s="65" t="n">
        <f aca="false">IF(OR($B99="",$C99=""),"",$C99-$B99)</f>
        <v>3.9</v>
      </c>
      <c r="J99" s="66" t="str">
        <f aca="false">IF($B99="","",IF(AND($B99&gt;=Targets!$C$7,$B99&lt;Targets!$C$8+1),"Yes","No"))</f>
        <v>Yes</v>
      </c>
      <c r="K99" s="65" t="n">
        <f aca="false">IF($J99="Yes",$I99,"")</f>
        <v>3.9</v>
      </c>
      <c r="L99" s="66" t="str">
        <f aca="false">IF($G99="","",IFERROR(INDEX($O$6:$O$25,MATCH($G99,$N$6:$N$25,0)),"Unknown dept"))</f>
        <v>Finance</v>
      </c>
    </row>
    <row r="100" customFormat="false" ht="15" hidden="false" customHeight="true" outlineLevel="0" collapsed="false">
      <c r="A100" s="63" t="s">
        <v>355</v>
      </c>
      <c r="B100" s="64" t="n">
        <v>46253.4756944445</v>
      </c>
      <c r="C100" s="64" t="n">
        <v>46254.2756944444</v>
      </c>
      <c r="D100" s="63" t="s">
        <v>191</v>
      </c>
      <c r="E100" s="63" t="s">
        <v>121</v>
      </c>
      <c r="F100" s="63" t="s">
        <v>228</v>
      </c>
      <c r="G100" s="63" t="s">
        <v>194</v>
      </c>
      <c r="H100" s="63"/>
      <c r="I100" s="65" t="n">
        <f aca="false">IF(OR($B100="",$C100=""),"",$C100-$B100)</f>
        <v>0.799999999988426</v>
      </c>
      <c r="J100" s="66" t="str">
        <f aca="false">IF($B100="","",IF(AND($B100&gt;=Targets!$C$7,$B100&lt;Targets!$C$8+1),"Yes","No"))</f>
        <v>Yes</v>
      </c>
      <c r="K100" s="65" t="n">
        <f aca="false">IF($J100="Yes",$I100,"")</f>
        <v>0.799999999988426</v>
      </c>
      <c r="L100" s="66" t="str">
        <f aca="false">IF($G100="","",IFERROR(INDEX($O$6:$O$25,MATCH($G100,$N$6:$N$25,0)),"Unknown dept"))</f>
        <v>Engineering</v>
      </c>
    </row>
    <row r="101" customFormat="false" ht="15" hidden="false" customHeight="true" outlineLevel="0" collapsed="false">
      <c r="A101" s="67" t="s">
        <v>356</v>
      </c>
      <c r="B101" s="68" t="n">
        <v>46253.5590277778</v>
      </c>
      <c r="C101" s="68" t="n">
        <v>46256.2590277778</v>
      </c>
      <c r="D101" s="67" t="s">
        <v>203</v>
      </c>
      <c r="E101" s="67" t="s">
        <v>121</v>
      </c>
      <c r="F101" s="67" t="s">
        <v>254</v>
      </c>
      <c r="G101" s="67" t="s">
        <v>181</v>
      </c>
      <c r="H101" s="67"/>
      <c r="I101" s="65" t="n">
        <f aca="false">IF(OR($B101="",$C101=""),"",$C101-$B101)</f>
        <v>2.7</v>
      </c>
      <c r="J101" s="66" t="str">
        <f aca="false">IF($B101="","",IF(AND($B101&gt;=Targets!$C$7,$B101&lt;Targets!$C$8+1),"Yes","No"))</f>
        <v>Yes</v>
      </c>
      <c r="K101" s="65" t="n">
        <f aca="false">IF($J101="Yes",$I101,"")</f>
        <v>2.7</v>
      </c>
      <c r="L101" s="66" t="str">
        <f aca="false">IF($G101="","",IFERROR(INDEX($O$6:$O$25,MATCH($G101,$N$6:$N$25,0)),"Unknown dept"))</f>
        <v>Sales</v>
      </c>
    </row>
    <row r="102" customFormat="false" ht="15" hidden="false" customHeight="true" outlineLevel="0" collapsed="false">
      <c r="A102" s="63" t="s">
        <v>357</v>
      </c>
      <c r="B102" s="64" t="n">
        <v>46253.6319444445</v>
      </c>
      <c r="C102" s="64" t="n">
        <v>46254.9819444444</v>
      </c>
      <c r="D102" s="63" t="s">
        <v>178</v>
      </c>
      <c r="E102" s="63" t="s">
        <v>121</v>
      </c>
      <c r="F102" s="63" t="s">
        <v>224</v>
      </c>
      <c r="G102" s="63" t="s">
        <v>180</v>
      </c>
      <c r="H102" s="63" t="s">
        <v>358</v>
      </c>
      <c r="I102" s="65" t="n">
        <f aca="false">IF(OR($B102="",$C102=""),"",$C102-$B102)</f>
        <v>1.34999999998843</v>
      </c>
      <c r="J102" s="66" t="str">
        <f aca="false">IF($B102="","",IF(AND($B102&gt;=Targets!$C$7,$B102&lt;Targets!$C$8+1),"Yes","No"))</f>
        <v>Yes</v>
      </c>
      <c r="K102" s="65" t="n">
        <f aca="false">IF($J102="Yes",$I102,"")</f>
        <v>1.34999999998843</v>
      </c>
      <c r="L102" s="66" t="str">
        <f aca="false">IF($G102="","",IFERROR(INDEX($O$6:$O$25,MATCH($G102,$N$6:$N$25,0)),"Unknown dept"))</f>
        <v>Operations</v>
      </c>
    </row>
    <row r="103" customFormat="false" ht="15" hidden="false" customHeight="true" outlineLevel="0" collapsed="false">
      <c r="A103" s="67" t="s">
        <v>359</v>
      </c>
      <c r="B103" s="68" t="n">
        <v>46253.6527777778</v>
      </c>
      <c r="C103" s="68" t="n">
        <v>46254.0227777778</v>
      </c>
      <c r="D103" s="67" t="s">
        <v>191</v>
      </c>
      <c r="E103" s="67" t="s">
        <v>121</v>
      </c>
      <c r="F103" s="67" t="s">
        <v>192</v>
      </c>
      <c r="G103" s="67" t="s">
        <v>214</v>
      </c>
      <c r="H103" s="67"/>
      <c r="I103" s="65" t="n">
        <f aca="false">IF(OR($B103="",$C103=""),"",$C103-$B103)</f>
        <v>0.37</v>
      </c>
      <c r="J103" s="66" t="str">
        <f aca="false">IF($B103="","",IF(AND($B103&gt;=Targets!$C$7,$B103&lt;Targets!$C$8+1),"Yes","No"))</f>
        <v>Yes</v>
      </c>
      <c r="K103" s="65" t="n">
        <f aca="false">IF($J103="Yes",$I103,"")</f>
        <v>0.37</v>
      </c>
      <c r="L103" s="66" t="str">
        <f aca="false">IF($G103="","",IFERROR(INDEX($O$6:$O$25,MATCH($G103,$N$6:$N$25,0)),"Unknown dept"))</f>
        <v>People</v>
      </c>
    </row>
    <row r="104" customFormat="false" ht="15" hidden="false" customHeight="true" outlineLevel="0" collapsed="false">
      <c r="A104" s="63" t="s">
        <v>360</v>
      </c>
      <c r="B104" s="64" t="n">
        <v>46254.4791666667</v>
      </c>
      <c r="C104" s="64" t="n">
        <v>46254.6191666667</v>
      </c>
      <c r="D104" s="63" t="s">
        <v>178</v>
      </c>
      <c r="E104" s="63" t="s">
        <v>121</v>
      </c>
      <c r="F104" s="63" t="s">
        <v>218</v>
      </c>
      <c r="G104" s="63" t="s">
        <v>214</v>
      </c>
      <c r="H104" s="63" t="s">
        <v>361</v>
      </c>
      <c r="I104" s="65" t="n">
        <f aca="false">IF(OR($B104="",$C104=""),"",$C104-$B104)</f>
        <v>0.14</v>
      </c>
      <c r="J104" s="66" t="str">
        <f aca="false">IF($B104="","",IF(AND($B104&gt;=Targets!$C$7,$B104&lt;Targets!$C$8+1),"Yes","No"))</f>
        <v>Yes</v>
      </c>
      <c r="K104" s="65" t="n">
        <f aca="false">IF($J104="Yes",$I104,"")</f>
        <v>0.14</v>
      </c>
      <c r="L104" s="66" t="str">
        <f aca="false">IF($G104="","",IFERROR(INDEX($O$6:$O$25,MATCH($G104,$N$6:$N$25,0)),"Unknown dept"))</f>
        <v>People</v>
      </c>
    </row>
    <row r="105" customFormat="false" ht="15" hidden="false" customHeight="true" outlineLevel="0" collapsed="false">
      <c r="A105" s="67" t="s">
        <v>362</v>
      </c>
      <c r="B105" s="68" t="n">
        <v>46254.5486111111</v>
      </c>
      <c r="C105" s="68" t="n">
        <v>46257.3986111111</v>
      </c>
      <c r="D105" s="67" t="s">
        <v>178</v>
      </c>
      <c r="E105" s="67" t="s">
        <v>121</v>
      </c>
      <c r="F105" s="67" t="s">
        <v>228</v>
      </c>
      <c r="G105" s="67" t="s">
        <v>180</v>
      </c>
      <c r="H105" s="67" t="s">
        <v>363</v>
      </c>
      <c r="I105" s="65" t="n">
        <f aca="false">IF(OR($B105="",$C105=""),"",$C105-$B105)</f>
        <v>2.85</v>
      </c>
      <c r="J105" s="66" t="str">
        <f aca="false">IF($B105="","",IF(AND($B105&gt;=Targets!$C$7,$B105&lt;Targets!$C$8+1),"Yes","No"))</f>
        <v>Yes</v>
      </c>
      <c r="K105" s="65" t="n">
        <f aca="false">IF($J105="Yes",$I105,"")</f>
        <v>2.85</v>
      </c>
      <c r="L105" s="66" t="str">
        <f aca="false">IF($G105="","",IFERROR(INDEX($O$6:$O$25,MATCH($G105,$N$6:$N$25,0)),"Unknown dept"))</f>
        <v>Operations</v>
      </c>
    </row>
    <row r="106" customFormat="false" ht="15" hidden="false" customHeight="true" outlineLevel="0" collapsed="false">
      <c r="A106" s="63" t="s">
        <v>364</v>
      </c>
      <c r="B106" s="64" t="n">
        <v>46254.5486111111</v>
      </c>
      <c r="C106" s="64" t="n">
        <v>46255.4086111111</v>
      </c>
      <c r="D106" s="63" t="s">
        <v>191</v>
      </c>
      <c r="E106" s="63" t="s">
        <v>365</v>
      </c>
      <c r="F106" s="63" t="s">
        <v>179</v>
      </c>
      <c r="G106" s="63" t="s">
        <v>193</v>
      </c>
      <c r="H106" s="63"/>
      <c r="I106" s="65" t="n">
        <f aca="false">IF(OR($B106="",$C106=""),"",$C106-$B106)</f>
        <v>0.86</v>
      </c>
      <c r="J106" s="66" t="str">
        <f aca="false">IF($B106="","",IF(AND($B106&gt;=Targets!$C$7,$B106&lt;Targets!$C$8+1),"Yes","No"))</f>
        <v>Yes</v>
      </c>
      <c r="K106" s="65" t="n">
        <f aca="false">IF($J106="Yes",$I106,"")</f>
        <v>0.86</v>
      </c>
      <c r="L106" s="66" t="str">
        <f aca="false">IF($G106="","",IFERROR(INDEX($O$6:$O$25,MATCH($G106,$N$6:$N$25,0)),"Unknown dept"))</f>
        <v>Procurement</v>
      </c>
    </row>
    <row r="107" customFormat="false" ht="15" hidden="false" customHeight="true" outlineLevel="0" collapsed="false">
      <c r="A107" s="67" t="s">
        <v>366</v>
      </c>
      <c r="B107" s="68" t="n">
        <v>46254.6041666667</v>
      </c>
      <c r="C107" s="68" t="n">
        <v>46254.8841666667</v>
      </c>
      <c r="D107" s="67" t="s">
        <v>203</v>
      </c>
      <c r="E107" s="67" t="s">
        <v>121</v>
      </c>
      <c r="F107" s="67" t="s">
        <v>204</v>
      </c>
      <c r="G107" s="67" t="s">
        <v>199</v>
      </c>
      <c r="H107" s="67"/>
      <c r="I107" s="65" t="n">
        <f aca="false">IF(OR($B107="",$C107=""),"",$C107-$B107)</f>
        <v>0.28</v>
      </c>
      <c r="J107" s="66" t="str">
        <f aca="false">IF($B107="","",IF(AND($B107&gt;=Targets!$C$7,$B107&lt;Targets!$C$8+1),"Yes","No"))</f>
        <v>Yes</v>
      </c>
      <c r="K107" s="65" t="n">
        <f aca="false">IF($J107="Yes",$I107,"")</f>
        <v>0.28</v>
      </c>
      <c r="L107" s="66" t="str">
        <f aca="false">IF($G107="","",IFERROR(INDEX($O$6:$O$25,MATCH($G107,$N$6:$N$25,0)),"Unknown dept"))</f>
        <v>IT</v>
      </c>
    </row>
    <row r="108" customFormat="false" ht="15" hidden="false" customHeight="true" outlineLevel="0" collapsed="false">
      <c r="A108" s="63" t="s">
        <v>367</v>
      </c>
      <c r="B108" s="64" t="n">
        <v>46254.6736111111</v>
      </c>
      <c r="C108" s="64" t="n">
        <v>46255.2736111111</v>
      </c>
      <c r="D108" s="63" t="s">
        <v>191</v>
      </c>
      <c r="E108" s="63" t="s">
        <v>121</v>
      </c>
      <c r="F108" s="63" t="s">
        <v>213</v>
      </c>
      <c r="G108" s="63" t="s">
        <v>181</v>
      </c>
      <c r="H108" s="63"/>
      <c r="I108" s="65" t="n">
        <f aca="false">IF(OR($B108="",$C108=""),"",$C108-$B108)</f>
        <v>0.6</v>
      </c>
      <c r="J108" s="66" t="str">
        <f aca="false">IF($B108="","",IF(AND($B108&gt;=Targets!$C$7,$B108&lt;Targets!$C$8+1),"Yes","No"))</f>
        <v>Yes</v>
      </c>
      <c r="K108" s="65" t="n">
        <f aca="false">IF($J108="Yes",$I108,"")</f>
        <v>0.6</v>
      </c>
      <c r="L108" s="66" t="str">
        <f aca="false">IF($G108="","",IFERROR(INDEX($O$6:$O$25,MATCH($G108,$N$6:$N$25,0)),"Unknown dept"))</f>
        <v>Sales</v>
      </c>
    </row>
    <row r="109" customFormat="false" ht="15" hidden="false" customHeight="true" outlineLevel="0" collapsed="false">
      <c r="A109" s="67" t="s">
        <v>368</v>
      </c>
      <c r="B109" s="68" t="n">
        <v>46254.7395833333</v>
      </c>
      <c r="C109" s="68" t="n">
        <v>46258.1895833333</v>
      </c>
      <c r="D109" s="67" t="s">
        <v>203</v>
      </c>
      <c r="E109" s="67" t="s">
        <v>121</v>
      </c>
      <c r="F109" s="67" t="s">
        <v>267</v>
      </c>
      <c r="G109" s="67" t="s">
        <v>214</v>
      </c>
      <c r="H109" s="67"/>
      <c r="I109" s="65" t="n">
        <f aca="false">IF(OR($B109="",$C109=""),"",$C109-$B109)</f>
        <v>3.45</v>
      </c>
      <c r="J109" s="66" t="str">
        <f aca="false">IF($B109="","",IF(AND($B109&gt;=Targets!$C$7,$B109&lt;Targets!$C$8+1),"Yes","No"))</f>
        <v>Yes</v>
      </c>
      <c r="K109" s="65" t="n">
        <f aca="false">IF($J109="Yes",$I109,"")</f>
        <v>3.45</v>
      </c>
      <c r="L109" s="66" t="str">
        <f aca="false">IF($G109="","",IFERROR(INDEX($O$6:$O$25,MATCH($G109,$N$6:$N$25,0)),"Unknown dept"))</f>
        <v>People</v>
      </c>
    </row>
    <row r="110" customFormat="false" ht="15" hidden="false" customHeight="true" outlineLevel="0" collapsed="false">
      <c r="A110" s="63" t="s">
        <v>369</v>
      </c>
      <c r="B110" s="64" t="n">
        <v>46255.4965277778</v>
      </c>
      <c r="C110" s="64" t="n">
        <v>46259.0965277778</v>
      </c>
      <c r="D110" s="63" t="s">
        <v>191</v>
      </c>
      <c r="E110" s="63" t="s">
        <v>121</v>
      </c>
      <c r="F110" s="63" t="s">
        <v>257</v>
      </c>
      <c r="G110" s="63" t="s">
        <v>199</v>
      </c>
      <c r="H110" s="63"/>
      <c r="I110" s="65" t="n">
        <f aca="false">IF(OR($B110="",$C110=""),"",$C110-$B110)</f>
        <v>3.6</v>
      </c>
      <c r="J110" s="66" t="str">
        <f aca="false">IF($B110="","",IF(AND($B110&gt;=Targets!$C$7,$B110&lt;Targets!$C$8+1),"Yes","No"))</f>
        <v>Yes</v>
      </c>
      <c r="K110" s="65" t="n">
        <f aca="false">IF($J110="Yes",$I110,"")</f>
        <v>3.6</v>
      </c>
      <c r="L110" s="66" t="str">
        <f aca="false">IF($G110="","",IFERROR(INDEX($O$6:$O$25,MATCH($G110,$N$6:$N$25,0)),"Unknown dept"))</f>
        <v>IT</v>
      </c>
    </row>
    <row r="111" customFormat="false" ht="15" hidden="false" customHeight="true" outlineLevel="0" collapsed="false">
      <c r="A111" s="67" t="s">
        <v>370</v>
      </c>
      <c r="B111" s="68" t="n">
        <v>46255.5520833333</v>
      </c>
      <c r="C111" s="68" t="n">
        <v>46255.6520833333</v>
      </c>
      <c r="D111" s="67" t="s">
        <v>191</v>
      </c>
      <c r="E111" s="67" t="s">
        <v>121</v>
      </c>
      <c r="F111" s="67" t="s">
        <v>213</v>
      </c>
      <c r="G111" s="67" t="s">
        <v>181</v>
      </c>
      <c r="H111" s="67"/>
      <c r="I111" s="65" t="n">
        <f aca="false">IF(OR($B111="",$C111=""),"",$C111-$B111)</f>
        <v>0.0999999999884259</v>
      </c>
      <c r="J111" s="66" t="str">
        <f aca="false">IF($B111="","",IF(AND($B111&gt;=Targets!$C$7,$B111&lt;Targets!$C$8+1),"Yes","No"))</f>
        <v>Yes</v>
      </c>
      <c r="K111" s="65" t="n">
        <f aca="false">IF($J111="Yes",$I111,"")</f>
        <v>0.0999999999884259</v>
      </c>
      <c r="L111" s="66" t="str">
        <f aca="false">IF($G111="","",IFERROR(INDEX($O$6:$O$25,MATCH($G111,$N$6:$N$25,0)),"Unknown dept"))</f>
        <v>Sales</v>
      </c>
    </row>
    <row r="112" customFormat="false" ht="15" hidden="false" customHeight="true" outlineLevel="0" collapsed="false">
      <c r="A112" s="63" t="s">
        <v>371</v>
      </c>
      <c r="B112" s="64" t="n">
        <v>46255.7048611111</v>
      </c>
      <c r="C112" s="64" t="n">
        <v>46256.5748611111</v>
      </c>
      <c r="D112" s="63" t="s">
        <v>191</v>
      </c>
      <c r="E112" s="63" t="s">
        <v>121</v>
      </c>
      <c r="F112" s="63" t="s">
        <v>204</v>
      </c>
      <c r="G112" s="63" t="s">
        <v>193</v>
      </c>
      <c r="H112" s="63"/>
      <c r="I112" s="65" t="n">
        <f aca="false">IF(OR($B112="",$C112=""),"",$C112-$B112)</f>
        <v>0.87</v>
      </c>
      <c r="J112" s="66" t="str">
        <f aca="false">IF($B112="","",IF(AND($B112&gt;=Targets!$C$7,$B112&lt;Targets!$C$8+1),"Yes","No"))</f>
        <v>Yes</v>
      </c>
      <c r="K112" s="65" t="n">
        <f aca="false">IF($J112="Yes",$I112,"")</f>
        <v>0.87</v>
      </c>
      <c r="L112" s="66" t="str">
        <f aca="false">IF($G112="","",IFERROR(INDEX($O$6:$O$25,MATCH($G112,$N$6:$N$25,0)),"Unknown dept"))</f>
        <v>Procurement</v>
      </c>
    </row>
    <row r="113" customFormat="false" ht="15" hidden="false" customHeight="true" outlineLevel="0" collapsed="false">
      <c r="A113" s="67" t="s">
        <v>372</v>
      </c>
      <c r="B113" s="68" t="n">
        <v>46256.3645833333</v>
      </c>
      <c r="C113" s="68" t="n">
        <v>46256.5945833333</v>
      </c>
      <c r="D113" s="67" t="s">
        <v>191</v>
      </c>
      <c r="E113" s="67" t="s">
        <v>121</v>
      </c>
      <c r="F113" s="67" t="s">
        <v>192</v>
      </c>
      <c r="G113" s="67" t="s">
        <v>214</v>
      </c>
      <c r="H113" s="67"/>
      <c r="I113" s="65" t="n">
        <f aca="false">IF(OR($B113="",$C113=""),"",$C113-$B113)</f>
        <v>0.23</v>
      </c>
      <c r="J113" s="66" t="str">
        <f aca="false">IF($B113="","",IF(AND($B113&gt;=Targets!$C$7,$B113&lt;Targets!$C$8+1),"Yes","No"))</f>
        <v>Yes</v>
      </c>
      <c r="K113" s="65" t="n">
        <f aca="false">IF($J113="Yes",$I113,"")</f>
        <v>0.23</v>
      </c>
      <c r="L113" s="66" t="str">
        <f aca="false">IF($G113="","",IFERROR(INDEX($O$6:$O$25,MATCH($G113,$N$6:$N$25,0)),"Unknown dept"))</f>
        <v>People</v>
      </c>
    </row>
    <row r="114" customFormat="false" ht="15" hidden="false" customHeight="true" outlineLevel="0" collapsed="false">
      <c r="A114" s="63" t="s">
        <v>373</v>
      </c>
      <c r="B114" s="64" t="n">
        <v>46256.4027777778</v>
      </c>
      <c r="C114" s="64" t="n">
        <v>46256.7327777778</v>
      </c>
      <c r="D114" s="63" t="s">
        <v>178</v>
      </c>
      <c r="E114" s="63" t="s">
        <v>121</v>
      </c>
      <c r="F114" s="63" t="s">
        <v>222</v>
      </c>
      <c r="G114" s="63" t="s">
        <v>199</v>
      </c>
      <c r="H114" s="63" t="s">
        <v>374</v>
      </c>
      <c r="I114" s="65" t="n">
        <f aca="false">IF(OR($B114="",$C114=""),"",$C114-$B114)</f>
        <v>0.33</v>
      </c>
      <c r="J114" s="66" t="str">
        <f aca="false">IF($B114="","",IF(AND($B114&gt;=Targets!$C$7,$B114&lt;Targets!$C$8+1),"Yes","No"))</f>
        <v>Yes</v>
      </c>
      <c r="K114" s="65" t="n">
        <f aca="false">IF($J114="Yes",$I114,"")</f>
        <v>0.33</v>
      </c>
      <c r="L114" s="66" t="str">
        <f aca="false">IF($G114="","",IFERROR(INDEX($O$6:$O$25,MATCH($G114,$N$6:$N$25,0)),"Unknown dept"))</f>
        <v>IT</v>
      </c>
    </row>
    <row r="115" customFormat="false" ht="15" hidden="false" customHeight="true" outlineLevel="0" collapsed="false">
      <c r="A115" s="67" t="s">
        <v>375</v>
      </c>
      <c r="B115" s="68" t="n">
        <v>46256.4375</v>
      </c>
      <c r="C115" s="68" t="n">
        <v>46258.2375</v>
      </c>
      <c r="D115" s="67" t="s">
        <v>191</v>
      </c>
      <c r="E115" s="67" t="s">
        <v>121</v>
      </c>
      <c r="F115" s="67" t="s">
        <v>222</v>
      </c>
      <c r="G115" s="67" t="s">
        <v>181</v>
      </c>
      <c r="H115" s="67"/>
      <c r="I115" s="65" t="n">
        <f aca="false">IF(OR($B115="",$C115=""),"",$C115-$B115)</f>
        <v>1.8</v>
      </c>
      <c r="J115" s="66" t="str">
        <f aca="false">IF($B115="","",IF(AND($B115&gt;=Targets!$C$7,$B115&lt;Targets!$C$8+1),"Yes","No"))</f>
        <v>Yes</v>
      </c>
      <c r="K115" s="65" t="n">
        <f aca="false">IF($J115="Yes",$I115,"")</f>
        <v>1.8</v>
      </c>
      <c r="L115" s="66" t="str">
        <f aca="false">IF($G115="","",IFERROR(INDEX($O$6:$O$25,MATCH($G115,$N$6:$N$25,0)),"Unknown dept"))</f>
        <v>Sales</v>
      </c>
    </row>
    <row r="116" customFormat="false" ht="15" hidden="false" customHeight="true" outlineLevel="0" collapsed="false">
      <c r="A116" s="63" t="s">
        <v>376</v>
      </c>
      <c r="B116" s="64" t="n">
        <v>46256.4895833333</v>
      </c>
      <c r="C116" s="64" t="n">
        <v>46257.2595833333</v>
      </c>
      <c r="D116" s="63" t="s">
        <v>178</v>
      </c>
      <c r="E116" s="63" t="s">
        <v>121</v>
      </c>
      <c r="F116" s="63" t="s">
        <v>179</v>
      </c>
      <c r="G116" s="63" t="s">
        <v>193</v>
      </c>
      <c r="H116" s="63" t="s">
        <v>377</v>
      </c>
      <c r="I116" s="65" t="n">
        <f aca="false">IF(OR($B116="",$C116=""),"",$C116-$B116)</f>
        <v>0.77</v>
      </c>
      <c r="J116" s="66" t="str">
        <f aca="false">IF($B116="","",IF(AND($B116&gt;=Targets!$C$7,$B116&lt;Targets!$C$8+1),"Yes","No"))</f>
        <v>Yes</v>
      </c>
      <c r="K116" s="65" t="n">
        <f aca="false">IF($J116="Yes",$I116,"")</f>
        <v>0.77</v>
      </c>
      <c r="L116" s="66" t="str">
        <f aca="false">IF($G116="","",IFERROR(INDEX($O$6:$O$25,MATCH($G116,$N$6:$N$25,0)),"Unknown dept"))</f>
        <v>Procurement</v>
      </c>
    </row>
    <row r="117" customFormat="false" ht="15" hidden="false" customHeight="true" outlineLevel="0" collapsed="false">
      <c r="A117" s="67" t="s">
        <v>378</v>
      </c>
      <c r="B117" s="68" t="n">
        <v>46256.5069444445</v>
      </c>
      <c r="C117" s="68" t="n">
        <v>46259.5569444444</v>
      </c>
      <c r="D117" s="67" t="s">
        <v>178</v>
      </c>
      <c r="E117" s="67" t="s">
        <v>121</v>
      </c>
      <c r="F117" s="67" t="s">
        <v>218</v>
      </c>
      <c r="G117" s="67" t="s">
        <v>194</v>
      </c>
      <c r="H117" s="67" t="s">
        <v>379</v>
      </c>
      <c r="I117" s="65" t="n">
        <f aca="false">IF(OR($B117="",$C117=""),"",$C117-$B117)</f>
        <v>3.04999999998843</v>
      </c>
      <c r="J117" s="66" t="str">
        <f aca="false">IF($B117="","",IF(AND($B117&gt;=Targets!$C$7,$B117&lt;Targets!$C$8+1),"Yes","No"))</f>
        <v>Yes</v>
      </c>
      <c r="K117" s="65" t="n">
        <f aca="false">IF($J117="Yes",$I117,"")</f>
        <v>3.04999999998843</v>
      </c>
      <c r="L117" s="66" t="str">
        <f aca="false">IF($G117="","",IFERROR(INDEX($O$6:$O$25,MATCH($G117,$N$6:$N$25,0)),"Unknown dept"))</f>
        <v>Engineering</v>
      </c>
    </row>
    <row r="118" customFormat="false" ht="15" hidden="false" customHeight="true" outlineLevel="0" collapsed="false">
      <c r="A118" s="63" t="s">
        <v>380</v>
      </c>
      <c r="B118" s="64" t="n">
        <v>46256.5277777778</v>
      </c>
      <c r="C118" s="64" t="n">
        <v>46257.5077777778</v>
      </c>
      <c r="D118" s="63" t="s">
        <v>191</v>
      </c>
      <c r="E118" s="63" t="s">
        <v>121</v>
      </c>
      <c r="F118" s="63" t="s">
        <v>222</v>
      </c>
      <c r="G118" s="63" t="s">
        <v>214</v>
      </c>
      <c r="H118" s="63"/>
      <c r="I118" s="65" t="n">
        <f aca="false">IF(OR($B118="",$C118=""),"",$C118-$B118)</f>
        <v>0.98</v>
      </c>
      <c r="J118" s="66" t="str">
        <f aca="false">IF($B118="","",IF(AND($B118&gt;=Targets!$C$7,$B118&lt;Targets!$C$8+1),"Yes","No"))</f>
        <v>Yes</v>
      </c>
      <c r="K118" s="65" t="n">
        <f aca="false">IF($J118="Yes",$I118,"")</f>
        <v>0.98</v>
      </c>
      <c r="L118" s="66" t="str">
        <f aca="false">IF($G118="","",IFERROR(INDEX($O$6:$O$25,MATCH($G118,$N$6:$N$25,0)),"Unknown dept"))</f>
        <v>People</v>
      </c>
    </row>
    <row r="119" customFormat="false" ht="15" hidden="false" customHeight="true" outlineLevel="0" collapsed="false">
      <c r="A119" s="67" t="s">
        <v>381</v>
      </c>
      <c r="B119" s="68" t="n">
        <v>46256.5902777778</v>
      </c>
      <c r="C119" s="68" t="n">
        <v>46257.0702777778</v>
      </c>
      <c r="D119" s="67" t="s">
        <v>178</v>
      </c>
      <c r="E119" s="67" t="s">
        <v>121</v>
      </c>
      <c r="F119" s="67" t="s">
        <v>204</v>
      </c>
      <c r="G119" s="67" t="s">
        <v>180</v>
      </c>
      <c r="H119" s="67" t="s">
        <v>382</v>
      </c>
      <c r="I119" s="65" t="n">
        <f aca="false">IF(OR($B119="",$C119=""),"",$C119-$B119)</f>
        <v>0.48</v>
      </c>
      <c r="J119" s="66" t="str">
        <f aca="false">IF($B119="","",IF(AND($B119&gt;=Targets!$C$7,$B119&lt;Targets!$C$8+1),"Yes","No"))</f>
        <v>Yes</v>
      </c>
      <c r="K119" s="65" t="n">
        <f aca="false">IF($J119="Yes",$I119,"")</f>
        <v>0.48</v>
      </c>
      <c r="L119" s="66" t="str">
        <f aca="false">IF($G119="","",IFERROR(INDEX($O$6:$O$25,MATCH($G119,$N$6:$N$25,0)),"Unknown dept"))</f>
        <v>Operations</v>
      </c>
    </row>
    <row r="120" customFormat="false" ht="15" hidden="false" customHeight="true" outlineLevel="0" collapsed="false">
      <c r="A120" s="63" t="s">
        <v>383</v>
      </c>
      <c r="B120" s="64" t="n">
        <v>46256.6979166667</v>
      </c>
      <c r="C120" s="64" t="n">
        <v>46258.5979166667</v>
      </c>
      <c r="D120" s="63" t="s">
        <v>191</v>
      </c>
      <c r="E120" s="63" t="s">
        <v>121</v>
      </c>
      <c r="F120" s="63" t="s">
        <v>231</v>
      </c>
      <c r="G120" s="63" t="s">
        <v>205</v>
      </c>
      <c r="H120" s="63"/>
      <c r="I120" s="65" t="n">
        <f aca="false">IF(OR($B120="",$C120=""),"",$C120-$B120)</f>
        <v>1.90000000001157</v>
      </c>
      <c r="J120" s="66" t="str">
        <f aca="false">IF($B120="","",IF(AND($B120&gt;=Targets!$C$7,$B120&lt;Targets!$C$8+1),"Yes","No"))</f>
        <v>Yes</v>
      </c>
      <c r="K120" s="65" t="n">
        <f aca="false">IF($J120="Yes",$I120,"")</f>
        <v>1.90000000001157</v>
      </c>
      <c r="L120" s="66" t="str">
        <f aca="false">IF($G120="","",IFERROR(INDEX($O$6:$O$25,MATCH($G120,$N$6:$N$25,0)),"Unknown dept"))</f>
        <v>Finance</v>
      </c>
    </row>
    <row r="121" customFormat="false" ht="15" hidden="false" customHeight="true" outlineLevel="0" collapsed="false">
      <c r="A121" s="67" t="s">
        <v>384</v>
      </c>
      <c r="B121" s="68" t="n">
        <v>46257.4479166667</v>
      </c>
      <c r="C121" s="68" t="n">
        <v>46260.1979166667</v>
      </c>
      <c r="D121" s="67" t="s">
        <v>191</v>
      </c>
      <c r="E121" s="67" t="s">
        <v>365</v>
      </c>
      <c r="F121" s="67" t="s">
        <v>204</v>
      </c>
      <c r="G121" s="67" t="s">
        <v>205</v>
      </c>
      <c r="H121" s="67"/>
      <c r="I121" s="65" t="n">
        <f aca="false">IF(OR($B121="",$C121=""),"",$C121-$B121)</f>
        <v>2.75</v>
      </c>
      <c r="J121" s="66" t="str">
        <f aca="false">IF($B121="","",IF(AND($B121&gt;=Targets!$C$7,$B121&lt;Targets!$C$8+1),"Yes","No"))</f>
        <v>Yes</v>
      </c>
      <c r="K121" s="65" t="n">
        <f aca="false">IF($J121="Yes",$I121,"")</f>
        <v>2.75</v>
      </c>
      <c r="L121" s="66" t="str">
        <f aca="false">IF($G121="","",IFERROR(INDEX($O$6:$O$25,MATCH($G121,$N$6:$N$25,0)),"Unknown dept"))</f>
        <v>Finance</v>
      </c>
    </row>
    <row r="122" customFormat="false" ht="15" hidden="false" customHeight="true" outlineLevel="0" collapsed="false">
      <c r="A122" s="63" t="s">
        <v>385</v>
      </c>
      <c r="B122" s="64" t="n">
        <v>46257.5</v>
      </c>
      <c r="C122" s="64" t="n">
        <v>46259.2</v>
      </c>
      <c r="D122" s="63" t="s">
        <v>191</v>
      </c>
      <c r="E122" s="63" t="s">
        <v>121</v>
      </c>
      <c r="F122" s="63" t="s">
        <v>242</v>
      </c>
      <c r="G122" s="63" t="s">
        <v>193</v>
      </c>
      <c r="H122" s="63"/>
      <c r="I122" s="65" t="n">
        <f aca="false">IF(OR($B122="",$C122=""),"",$C122-$B122)</f>
        <v>1.7</v>
      </c>
      <c r="J122" s="66" t="str">
        <f aca="false">IF($B122="","",IF(AND($B122&gt;=Targets!$C$7,$B122&lt;Targets!$C$8+1),"Yes","No"))</f>
        <v>Yes</v>
      </c>
      <c r="K122" s="65" t="n">
        <f aca="false">IF($J122="Yes",$I122,"")</f>
        <v>1.7</v>
      </c>
      <c r="L122" s="66" t="str">
        <f aca="false">IF($G122="","",IFERROR(INDEX($O$6:$O$25,MATCH($G122,$N$6:$N$25,0)),"Unknown dept"))</f>
        <v>Procurement</v>
      </c>
    </row>
    <row r="123" customFormat="false" ht="15" hidden="false" customHeight="true" outlineLevel="0" collapsed="false">
      <c r="A123" s="67" t="s">
        <v>386</v>
      </c>
      <c r="B123" s="68" t="n">
        <v>46257.6527777778</v>
      </c>
      <c r="C123" s="68" t="n">
        <v>46258.0027777778</v>
      </c>
      <c r="D123" s="67" t="s">
        <v>178</v>
      </c>
      <c r="E123" s="67" t="s">
        <v>121</v>
      </c>
      <c r="F123" s="67" t="s">
        <v>231</v>
      </c>
      <c r="G123" s="67" t="s">
        <v>187</v>
      </c>
      <c r="H123" s="67" t="s">
        <v>387</v>
      </c>
      <c r="I123" s="65" t="n">
        <f aca="false">IF(OR($B123="",$C123=""),"",$C123-$B123)</f>
        <v>0.35</v>
      </c>
      <c r="J123" s="66" t="str">
        <f aca="false">IF($B123="","",IF(AND($B123&gt;=Targets!$C$7,$B123&lt;Targets!$C$8+1),"Yes","No"))</f>
        <v>Yes</v>
      </c>
      <c r="K123" s="65" t="n">
        <f aca="false">IF($J123="Yes",$I123,"")</f>
        <v>0.35</v>
      </c>
      <c r="L123" s="66" t="str">
        <f aca="false">IF($G123="","",IFERROR(INDEX($O$6:$O$25,MATCH($G123,$N$6:$N$25,0)),"Unknown dept"))</f>
        <v>Marketing</v>
      </c>
    </row>
    <row r="124" customFormat="false" ht="15" hidden="false" customHeight="true" outlineLevel="0" collapsed="false">
      <c r="A124" s="63" t="s">
        <v>388</v>
      </c>
      <c r="B124" s="64" t="n">
        <v>46257.7048611111</v>
      </c>
      <c r="C124" s="64" t="n">
        <v>46257.9448611111</v>
      </c>
      <c r="D124" s="63" t="s">
        <v>178</v>
      </c>
      <c r="E124" s="63" t="s">
        <v>121</v>
      </c>
      <c r="F124" s="63" t="s">
        <v>218</v>
      </c>
      <c r="G124" s="63" t="s">
        <v>180</v>
      </c>
      <c r="H124" s="63" t="s">
        <v>389</v>
      </c>
      <c r="I124" s="65" t="n">
        <f aca="false">IF(OR($B124="",$C124=""),"",$C124-$B124)</f>
        <v>0.24</v>
      </c>
      <c r="J124" s="66" t="str">
        <f aca="false">IF($B124="","",IF(AND($B124&gt;=Targets!$C$7,$B124&lt;Targets!$C$8+1),"Yes","No"))</f>
        <v>Yes</v>
      </c>
      <c r="K124" s="65" t="n">
        <f aca="false">IF($J124="Yes",$I124,"")</f>
        <v>0.24</v>
      </c>
      <c r="L124" s="66" t="str">
        <f aca="false">IF($G124="","",IFERROR(INDEX($O$6:$O$25,MATCH($G124,$N$6:$N$25,0)),"Unknown dept"))</f>
        <v>Operations</v>
      </c>
    </row>
    <row r="125" customFormat="false" ht="15" hidden="false" customHeight="true" outlineLevel="0" collapsed="false">
      <c r="A125" s="67" t="s">
        <v>390</v>
      </c>
      <c r="B125" s="68" t="n">
        <v>46257.7048611111</v>
      </c>
      <c r="C125" s="68" t="n">
        <v>46260.6548611111</v>
      </c>
      <c r="D125" s="67" t="s">
        <v>178</v>
      </c>
      <c r="E125" s="67" t="s">
        <v>121</v>
      </c>
      <c r="F125" s="67" t="s">
        <v>186</v>
      </c>
      <c r="G125" s="67" t="s">
        <v>181</v>
      </c>
      <c r="H125" s="67" t="s">
        <v>391</v>
      </c>
      <c r="I125" s="65" t="n">
        <f aca="false">IF(OR($B125="",$C125=""),"",$C125-$B125)</f>
        <v>2.95</v>
      </c>
      <c r="J125" s="66" t="str">
        <f aca="false">IF($B125="","",IF(AND($B125&gt;=Targets!$C$7,$B125&lt;Targets!$C$8+1),"Yes","No"))</f>
        <v>Yes</v>
      </c>
      <c r="K125" s="65" t="n">
        <f aca="false">IF($J125="Yes",$I125,"")</f>
        <v>2.95</v>
      </c>
      <c r="L125" s="66" t="str">
        <f aca="false">IF($G125="","",IFERROR(INDEX($O$6:$O$25,MATCH($G125,$N$6:$N$25,0)),"Unknown dept"))</f>
        <v>Sales</v>
      </c>
    </row>
    <row r="126" customFormat="false" ht="15" hidden="false" customHeight="true" outlineLevel="0" collapsed="false">
      <c r="A126" s="63" t="s">
        <v>392</v>
      </c>
      <c r="B126" s="64" t="n">
        <v>46258.4791666667</v>
      </c>
      <c r="C126" s="64" t="n">
        <v>46261.9791666667</v>
      </c>
      <c r="D126" s="63" t="s">
        <v>178</v>
      </c>
      <c r="E126" s="63" t="s">
        <v>121</v>
      </c>
      <c r="F126" s="63" t="s">
        <v>222</v>
      </c>
      <c r="G126" s="63" t="s">
        <v>187</v>
      </c>
      <c r="H126" s="63" t="s">
        <v>393</v>
      </c>
      <c r="I126" s="65" t="n">
        <f aca="false">IF(OR($B126="",$C126=""),"",$C126-$B126)</f>
        <v>3.5</v>
      </c>
      <c r="J126" s="66" t="str">
        <f aca="false">IF($B126="","",IF(AND($B126&gt;=Targets!$C$7,$B126&lt;Targets!$C$8+1),"Yes","No"))</f>
        <v>Yes</v>
      </c>
      <c r="K126" s="65" t="n">
        <f aca="false">IF($J126="Yes",$I126,"")</f>
        <v>3.5</v>
      </c>
      <c r="L126" s="66" t="str">
        <f aca="false">IF($G126="","",IFERROR(INDEX($O$6:$O$25,MATCH($G126,$N$6:$N$25,0)),"Unknown dept"))</f>
        <v>Marketing</v>
      </c>
    </row>
    <row r="127" customFormat="false" ht="15" hidden="false" customHeight="true" outlineLevel="0" collapsed="false">
      <c r="A127" s="67" t="s">
        <v>394</v>
      </c>
      <c r="B127" s="68" t="n">
        <v>46259.6458333333</v>
      </c>
      <c r="C127" s="68" t="n">
        <v>46260.7158333333</v>
      </c>
      <c r="D127" s="67" t="s">
        <v>178</v>
      </c>
      <c r="E127" s="67" t="s">
        <v>121</v>
      </c>
      <c r="F127" s="67" t="s">
        <v>254</v>
      </c>
      <c r="G127" s="67" t="s">
        <v>187</v>
      </c>
      <c r="H127" s="67" t="s">
        <v>395</v>
      </c>
      <c r="I127" s="65" t="n">
        <f aca="false">IF(OR($B127="",$C127=""),"",$C127-$B127)</f>
        <v>1.07</v>
      </c>
      <c r="J127" s="66" t="str">
        <f aca="false">IF($B127="","",IF(AND($B127&gt;=Targets!$C$7,$B127&lt;Targets!$C$8+1),"Yes","No"))</f>
        <v>Yes</v>
      </c>
      <c r="K127" s="65" t="n">
        <f aca="false">IF($J127="Yes",$I127,"")</f>
        <v>1.07</v>
      </c>
      <c r="L127" s="66" t="str">
        <f aca="false">IF($G127="","",IFERROR(INDEX($O$6:$O$25,MATCH($G127,$N$6:$N$25,0)),"Unknown dept"))</f>
        <v>Marketing</v>
      </c>
    </row>
    <row r="128" customFormat="false" ht="15" hidden="false" customHeight="true" outlineLevel="0" collapsed="false">
      <c r="A128" s="63" t="s">
        <v>396</v>
      </c>
      <c r="B128" s="64" t="n">
        <v>46259.71875</v>
      </c>
      <c r="C128" s="64" t="n">
        <v>46261.01875</v>
      </c>
      <c r="D128" s="63" t="s">
        <v>178</v>
      </c>
      <c r="E128" s="63" t="s">
        <v>121</v>
      </c>
      <c r="F128" s="63" t="s">
        <v>224</v>
      </c>
      <c r="G128" s="63" t="s">
        <v>199</v>
      </c>
      <c r="H128" s="63" t="s">
        <v>397</v>
      </c>
      <c r="I128" s="65" t="n">
        <f aca="false">IF(OR($B128="",$C128=""),"",$C128-$B128)</f>
        <v>1.3</v>
      </c>
      <c r="J128" s="66" t="str">
        <f aca="false">IF($B128="","",IF(AND($B128&gt;=Targets!$C$7,$B128&lt;Targets!$C$8+1),"Yes","No"))</f>
        <v>Yes</v>
      </c>
      <c r="K128" s="65" t="n">
        <f aca="false">IF($J128="Yes",$I128,"")</f>
        <v>1.3</v>
      </c>
      <c r="L128" s="66" t="str">
        <f aca="false">IF($G128="","",IFERROR(INDEX($O$6:$O$25,MATCH($G128,$N$6:$N$25,0)),"Unknown dept"))</f>
        <v>IT</v>
      </c>
    </row>
    <row r="129" customFormat="false" ht="15" hidden="false" customHeight="true" outlineLevel="0" collapsed="false">
      <c r="A129" s="67" t="s">
        <v>398</v>
      </c>
      <c r="B129" s="68" t="n">
        <v>46259.7361111111</v>
      </c>
      <c r="C129" s="68" t="n">
        <v>46262.0861111111</v>
      </c>
      <c r="D129" s="67" t="s">
        <v>178</v>
      </c>
      <c r="E129" s="67" t="s">
        <v>121</v>
      </c>
      <c r="F129" s="67" t="s">
        <v>257</v>
      </c>
      <c r="G129" s="67" t="s">
        <v>180</v>
      </c>
      <c r="H129" s="67" t="s">
        <v>399</v>
      </c>
      <c r="I129" s="65" t="n">
        <f aca="false">IF(OR($B129="",$C129=""),"",$C129-$B129)</f>
        <v>2.35</v>
      </c>
      <c r="J129" s="66" t="str">
        <f aca="false">IF($B129="","",IF(AND($B129&gt;=Targets!$C$7,$B129&lt;Targets!$C$8+1),"Yes","No"))</f>
        <v>Yes</v>
      </c>
      <c r="K129" s="65" t="n">
        <f aca="false">IF($J129="Yes",$I129,"")</f>
        <v>2.35</v>
      </c>
      <c r="L129" s="66" t="str">
        <f aca="false">IF($G129="","",IFERROR(INDEX($O$6:$O$25,MATCH($G129,$N$6:$N$25,0)),"Unknown dept"))</f>
        <v>Operations</v>
      </c>
    </row>
    <row r="130" customFormat="false" ht="15" hidden="false" customHeight="true" outlineLevel="0" collapsed="false">
      <c r="A130" s="63" t="s">
        <v>400</v>
      </c>
      <c r="B130" s="64" t="n">
        <v>46260.3958333333</v>
      </c>
      <c r="C130" s="64" t="n">
        <v>46261.3058333333</v>
      </c>
      <c r="D130" s="63" t="s">
        <v>178</v>
      </c>
      <c r="E130" s="63" t="s">
        <v>121</v>
      </c>
      <c r="F130" s="63" t="s">
        <v>213</v>
      </c>
      <c r="G130" s="63" t="s">
        <v>199</v>
      </c>
      <c r="H130" s="63" t="s">
        <v>401</v>
      </c>
      <c r="I130" s="65" t="n">
        <f aca="false">IF(OR($B130="",$C130=""),"",$C130-$B130)</f>
        <v>0.91</v>
      </c>
      <c r="J130" s="66" t="str">
        <f aca="false">IF($B130="","",IF(AND($B130&gt;=Targets!$C$7,$B130&lt;Targets!$C$8+1),"Yes","No"))</f>
        <v>Yes</v>
      </c>
      <c r="K130" s="65" t="n">
        <f aca="false">IF($J130="Yes",$I130,"")</f>
        <v>0.91</v>
      </c>
      <c r="L130" s="66" t="str">
        <f aca="false">IF($G130="","",IFERROR(INDEX($O$6:$O$25,MATCH($G130,$N$6:$N$25,0)),"Unknown dept"))</f>
        <v>IT</v>
      </c>
    </row>
    <row r="131" customFormat="false" ht="15" hidden="false" customHeight="true" outlineLevel="0" collapsed="false">
      <c r="A131" s="67" t="s">
        <v>402</v>
      </c>
      <c r="B131" s="68" t="n">
        <v>46260.6944444445</v>
      </c>
      <c r="C131" s="68" t="n">
        <v>46263.7944444444</v>
      </c>
      <c r="D131" s="67" t="s">
        <v>191</v>
      </c>
      <c r="E131" s="67" t="s">
        <v>121</v>
      </c>
      <c r="F131" s="67" t="s">
        <v>213</v>
      </c>
      <c r="G131" s="67" t="s">
        <v>199</v>
      </c>
      <c r="H131" s="67"/>
      <c r="I131" s="65" t="n">
        <f aca="false">IF(OR($B131="",$C131=""),"",$C131-$B131)</f>
        <v>3.09999999998843</v>
      </c>
      <c r="J131" s="66" t="str">
        <f aca="false">IF($B131="","",IF(AND($B131&gt;=Targets!$C$7,$B131&lt;Targets!$C$8+1),"Yes","No"))</f>
        <v>Yes</v>
      </c>
      <c r="K131" s="65" t="n">
        <f aca="false">IF($J131="Yes",$I131,"")</f>
        <v>3.09999999998843</v>
      </c>
      <c r="L131" s="66" t="str">
        <f aca="false">IF($G131="","",IFERROR(INDEX($O$6:$O$25,MATCH($G131,$N$6:$N$25,0)),"Unknown dept"))</f>
        <v>IT</v>
      </c>
    </row>
    <row r="132" customFormat="false" ht="15" hidden="false" customHeight="true" outlineLevel="0" collapsed="false">
      <c r="A132" s="63" t="s">
        <v>403</v>
      </c>
      <c r="B132" s="64" t="n">
        <v>46261.5069444445</v>
      </c>
      <c r="C132" s="64" t="n">
        <v>46265.2069444444</v>
      </c>
      <c r="D132" s="63" t="s">
        <v>203</v>
      </c>
      <c r="E132" s="63" t="s">
        <v>121</v>
      </c>
      <c r="F132" s="63" t="s">
        <v>242</v>
      </c>
      <c r="G132" s="63" t="s">
        <v>180</v>
      </c>
      <c r="H132" s="63"/>
      <c r="I132" s="65" t="n">
        <f aca="false">IF(OR($B132="",$C132=""),"",$C132-$B132)</f>
        <v>3.7</v>
      </c>
      <c r="J132" s="66" t="str">
        <f aca="false">IF($B132="","",IF(AND($B132&gt;=Targets!$C$7,$B132&lt;Targets!$C$8+1),"Yes","No"))</f>
        <v>Yes</v>
      </c>
      <c r="K132" s="65" t="n">
        <f aca="false">IF($J132="Yes",$I132,"")</f>
        <v>3.7</v>
      </c>
      <c r="L132" s="66" t="str">
        <f aca="false">IF($G132="","",IFERROR(INDEX($O$6:$O$25,MATCH($G132,$N$6:$N$25,0)),"Unknown dept"))</f>
        <v>Operations</v>
      </c>
    </row>
    <row r="133" customFormat="false" ht="15" hidden="false" customHeight="true" outlineLevel="0" collapsed="false">
      <c r="A133" s="67" t="s">
        <v>404</v>
      </c>
      <c r="B133" s="68" t="n">
        <v>46262.3541666667</v>
      </c>
      <c r="C133" s="68" t="n">
        <v>46263.1041666667</v>
      </c>
      <c r="D133" s="67" t="s">
        <v>178</v>
      </c>
      <c r="E133" s="67" t="s">
        <v>121</v>
      </c>
      <c r="F133" s="67" t="s">
        <v>204</v>
      </c>
      <c r="G133" s="67" t="s">
        <v>194</v>
      </c>
      <c r="H133" s="67" t="s">
        <v>405</v>
      </c>
      <c r="I133" s="65" t="n">
        <f aca="false">IF(OR($B133="",$C133=""),"",$C133-$B133)</f>
        <v>0.75</v>
      </c>
      <c r="J133" s="66" t="str">
        <f aca="false">IF($B133="","",IF(AND($B133&gt;=Targets!$C$7,$B133&lt;Targets!$C$8+1),"Yes","No"))</f>
        <v>Yes</v>
      </c>
      <c r="K133" s="65" t="n">
        <f aca="false">IF($J133="Yes",$I133,"")</f>
        <v>0.75</v>
      </c>
      <c r="L133" s="66" t="str">
        <f aca="false">IF($G133="","",IFERROR(INDEX($O$6:$O$25,MATCH($G133,$N$6:$N$25,0)),"Unknown dept"))</f>
        <v>Engineering</v>
      </c>
    </row>
    <row r="134" customFormat="false" ht="15" hidden="false" customHeight="true" outlineLevel="0" collapsed="false">
      <c r="A134" s="63" t="s">
        <v>406</v>
      </c>
      <c r="B134" s="64" t="n">
        <v>46262.3819444445</v>
      </c>
      <c r="C134" s="64" t="n">
        <v>46265.5819444444</v>
      </c>
      <c r="D134" s="63" t="s">
        <v>178</v>
      </c>
      <c r="E134" s="63" t="s">
        <v>121</v>
      </c>
      <c r="F134" s="63" t="s">
        <v>186</v>
      </c>
      <c r="G134" s="63" t="s">
        <v>193</v>
      </c>
      <c r="H134" s="63" t="s">
        <v>407</v>
      </c>
      <c r="I134" s="65" t="n">
        <f aca="false">IF(OR($B134="",$C134=""),"",$C134-$B134)</f>
        <v>3.2</v>
      </c>
      <c r="J134" s="66" t="str">
        <f aca="false">IF($B134="","",IF(AND($B134&gt;=Targets!$C$7,$B134&lt;Targets!$C$8+1),"Yes","No"))</f>
        <v>Yes</v>
      </c>
      <c r="K134" s="65" t="n">
        <f aca="false">IF($J134="Yes",$I134,"")</f>
        <v>3.2</v>
      </c>
      <c r="L134" s="66" t="str">
        <f aca="false">IF($G134="","",IFERROR(INDEX($O$6:$O$25,MATCH($G134,$N$6:$N$25,0)),"Unknown dept"))</f>
        <v>Procurement</v>
      </c>
    </row>
    <row r="135" customFormat="false" ht="15" hidden="false" customHeight="true" outlineLevel="0" collapsed="false">
      <c r="A135" s="67" t="s">
        <v>408</v>
      </c>
      <c r="B135" s="68" t="n">
        <v>46262.5104166667</v>
      </c>
      <c r="C135" s="68" t="n">
        <v>46263.0104166667</v>
      </c>
      <c r="D135" s="67" t="s">
        <v>191</v>
      </c>
      <c r="E135" s="67" t="s">
        <v>121</v>
      </c>
      <c r="F135" s="67" t="s">
        <v>259</v>
      </c>
      <c r="G135" s="67" t="s">
        <v>180</v>
      </c>
      <c r="H135" s="67"/>
      <c r="I135" s="65" t="n">
        <f aca="false">IF(OR($B135="",$C135=""),"",$C135-$B135)</f>
        <v>0.5</v>
      </c>
      <c r="J135" s="66" t="str">
        <f aca="false">IF($B135="","",IF(AND($B135&gt;=Targets!$C$7,$B135&lt;Targets!$C$8+1),"Yes","No"))</f>
        <v>Yes</v>
      </c>
      <c r="K135" s="65" t="n">
        <f aca="false">IF($J135="Yes",$I135,"")</f>
        <v>0.5</v>
      </c>
      <c r="L135" s="66" t="str">
        <f aca="false">IF($G135="","",IFERROR(INDEX($O$6:$O$25,MATCH($G135,$N$6:$N$25,0)),"Unknown dept"))</f>
        <v>Operations</v>
      </c>
    </row>
    <row r="136" customFormat="false" ht="15" hidden="false" customHeight="true" outlineLevel="0" collapsed="false">
      <c r="A136" s="63" t="s">
        <v>409</v>
      </c>
      <c r="B136" s="64" t="n">
        <v>46262.6215277778</v>
      </c>
      <c r="C136" s="64" t="n">
        <v>46265.1215277778</v>
      </c>
      <c r="D136" s="63" t="s">
        <v>191</v>
      </c>
      <c r="E136" s="63" t="s">
        <v>121</v>
      </c>
      <c r="F136" s="63" t="s">
        <v>228</v>
      </c>
      <c r="G136" s="63" t="s">
        <v>180</v>
      </c>
      <c r="H136" s="63"/>
      <c r="I136" s="65" t="n">
        <f aca="false">IF(OR($B136="",$C136=""),"",$C136-$B136)</f>
        <v>2.5</v>
      </c>
      <c r="J136" s="66" t="str">
        <f aca="false">IF($B136="","",IF(AND($B136&gt;=Targets!$C$7,$B136&lt;Targets!$C$8+1),"Yes","No"))</f>
        <v>Yes</v>
      </c>
      <c r="K136" s="65" t="n">
        <f aca="false">IF($J136="Yes",$I136,"")</f>
        <v>2.5</v>
      </c>
      <c r="L136" s="66" t="str">
        <f aca="false">IF($G136="","",IFERROR(INDEX($O$6:$O$25,MATCH($G136,$N$6:$N$25,0)),"Unknown dept"))</f>
        <v>Operations</v>
      </c>
    </row>
    <row r="137" customFormat="false" ht="15" hidden="false" customHeight="true" outlineLevel="0" collapsed="false">
      <c r="A137" s="67" t="s">
        <v>410</v>
      </c>
      <c r="B137" s="68" t="n">
        <v>46262.7361111111</v>
      </c>
      <c r="C137" s="68" t="n">
        <v>46263.2461111111</v>
      </c>
      <c r="D137" s="67" t="s">
        <v>203</v>
      </c>
      <c r="E137" s="67" t="s">
        <v>121</v>
      </c>
      <c r="F137" s="67" t="s">
        <v>254</v>
      </c>
      <c r="G137" s="67" t="s">
        <v>181</v>
      </c>
      <c r="H137" s="67"/>
      <c r="I137" s="65" t="n">
        <f aca="false">IF(OR($B137="",$C137=""),"",$C137-$B137)</f>
        <v>0.51</v>
      </c>
      <c r="J137" s="66" t="str">
        <f aca="false">IF($B137="","",IF(AND($B137&gt;=Targets!$C$7,$B137&lt;Targets!$C$8+1),"Yes","No"))</f>
        <v>Yes</v>
      </c>
      <c r="K137" s="65" t="n">
        <f aca="false">IF($J137="Yes",$I137,"")</f>
        <v>0.51</v>
      </c>
      <c r="L137" s="66" t="str">
        <f aca="false">IF($G137="","",IFERROR(INDEX($O$6:$O$25,MATCH($G137,$N$6:$N$25,0)),"Unknown dept"))</f>
        <v>Sales</v>
      </c>
    </row>
    <row r="138" customFormat="false" ht="15" hidden="false" customHeight="true" outlineLevel="0" collapsed="false">
      <c r="A138" s="63" t="s">
        <v>411</v>
      </c>
      <c r="B138" s="64" t="n">
        <v>46263.3645833333</v>
      </c>
      <c r="C138" s="64" t="n">
        <v>46264.7645833333</v>
      </c>
      <c r="D138" s="63" t="s">
        <v>178</v>
      </c>
      <c r="E138" s="63" t="s">
        <v>121</v>
      </c>
      <c r="F138" s="63" t="s">
        <v>259</v>
      </c>
      <c r="G138" s="63" t="s">
        <v>193</v>
      </c>
      <c r="H138" s="63" t="s">
        <v>412</v>
      </c>
      <c r="I138" s="65" t="n">
        <f aca="false">IF(OR($B138="",$C138=""),"",$C138-$B138)</f>
        <v>1.39999999998843</v>
      </c>
      <c r="J138" s="66" t="str">
        <f aca="false">IF($B138="","",IF(AND($B138&gt;=Targets!$C$7,$B138&lt;Targets!$C$8+1),"Yes","No"))</f>
        <v>Yes</v>
      </c>
      <c r="K138" s="65" t="n">
        <f aca="false">IF($J138="Yes",$I138,"")</f>
        <v>1.39999999998843</v>
      </c>
      <c r="L138" s="66" t="str">
        <f aca="false">IF($G138="","",IFERROR(INDEX($O$6:$O$25,MATCH($G138,$N$6:$N$25,0)),"Unknown dept"))</f>
        <v>Procurement</v>
      </c>
    </row>
    <row r="139" customFormat="false" ht="15" hidden="false" customHeight="true" outlineLevel="0" collapsed="false">
      <c r="A139" s="67" t="s">
        <v>413</v>
      </c>
      <c r="B139" s="68" t="n">
        <v>46263.6145833333</v>
      </c>
      <c r="C139" s="68" t="n">
        <v>46264.2745833333</v>
      </c>
      <c r="D139" s="67" t="s">
        <v>203</v>
      </c>
      <c r="E139" s="67" t="s">
        <v>121</v>
      </c>
      <c r="F139" s="67" t="s">
        <v>228</v>
      </c>
      <c r="G139" s="67" t="s">
        <v>205</v>
      </c>
      <c r="H139" s="67"/>
      <c r="I139" s="65" t="n">
        <f aca="false">IF(OR($B139="",$C139=""),"",$C139-$B139)</f>
        <v>0.66</v>
      </c>
      <c r="J139" s="66" t="str">
        <f aca="false">IF($B139="","",IF(AND($B139&gt;=Targets!$C$7,$B139&lt;Targets!$C$8+1),"Yes","No"))</f>
        <v>Yes</v>
      </c>
      <c r="K139" s="65" t="n">
        <f aca="false">IF($J139="Yes",$I139,"")</f>
        <v>0.66</v>
      </c>
      <c r="L139" s="66" t="str">
        <f aca="false">IF($G139="","",IFERROR(INDEX($O$6:$O$25,MATCH($G139,$N$6:$N$25,0)),"Unknown dept"))</f>
        <v>Finance</v>
      </c>
    </row>
    <row r="140" customFormat="false" ht="15" hidden="false" customHeight="true" outlineLevel="0" collapsed="false">
      <c r="A140" s="63" t="s">
        <v>414</v>
      </c>
      <c r="B140" s="64" t="n">
        <v>46263.65625</v>
      </c>
      <c r="C140" s="64" t="n">
        <v>46267.45625</v>
      </c>
      <c r="D140" s="63" t="s">
        <v>178</v>
      </c>
      <c r="E140" s="63" t="s">
        <v>121</v>
      </c>
      <c r="F140" s="63" t="s">
        <v>231</v>
      </c>
      <c r="G140" s="63" t="s">
        <v>181</v>
      </c>
      <c r="H140" s="63" t="s">
        <v>415</v>
      </c>
      <c r="I140" s="65" t="n">
        <f aca="false">IF(OR($B140="",$C140=""),"",$C140-$B140)</f>
        <v>3.8</v>
      </c>
      <c r="J140" s="66" t="str">
        <f aca="false">IF($B140="","",IF(AND($B140&gt;=Targets!$C$7,$B140&lt;Targets!$C$8+1),"Yes","No"))</f>
        <v>Yes</v>
      </c>
      <c r="K140" s="65" t="n">
        <f aca="false">IF($J140="Yes",$I140,"")</f>
        <v>3.8</v>
      </c>
      <c r="L140" s="66" t="str">
        <f aca="false">IF($G140="","",IFERROR(INDEX($O$6:$O$25,MATCH($G140,$N$6:$N$25,0)),"Unknown dept"))</f>
        <v>Sales</v>
      </c>
    </row>
    <row r="141" customFormat="false" ht="15" hidden="false" customHeight="true" outlineLevel="0" collapsed="false">
      <c r="A141" s="67" t="s">
        <v>416</v>
      </c>
      <c r="B141" s="68" t="n">
        <v>46264.3333333333</v>
      </c>
      <c r="C141" s="68" t="n">
        <v>46265.3533333333</v>
      </c>
      <c r="D141" s="67" t="s">
        <v>178</v>
      </c>
      <c r="E141" s="67" t="s">
        <v>121</v>
      </c>
      <c r="F141" s="67" t="s">
        <v>259</v>
      </c>
      <c r="G141" s="67" t="s">
        <v>180</v>
      </c>
      <c r="H141" s="67" t="s">
        <v>417</v>
      </c>
      <c r="I141" s="65" t="n">
        <f aca="false">IF(OR($B141="",$C141=""),"",$C141-$B141)</f>
        <v>1.02</v>
      </c>
      <c r="J141" s="66" t="str">
        <f aca="false">IF($B141="","",IF(AND($B141&gt;=Targets!$C$7,$B141&lt;Targets!$C$8+1),"Yes","No"))</f>
        <v>Yes</v>
      </c>
      <c r="K141" s="65" t="n">
        <f aca="false">IF($J141="Yes",$I141,"")</f>
        <v>1.02</v>
      </c>
      <c r="L141" s="66" t="str">
        <f aca="false">IF($G141="","",IFERROR(INDEX($O$6:$O$25,MATCH($G141,$N$6:$N$25,0)),"Unknown dept"))</f>
        <v>Operations</v>
      </c>
    </row>
    <row r="142" customFormat="false" ht="15" hidden="false" customHeight="true" outlineLevel="0" collapsed="false">
      <c r="A142" s="63" t="s">
        <v>418</v>
      </c>
      <c r="B142" s="64" t="n">
        <v>46264.5</v>
      </c>
      <c r="C142" s="64" t="n">
        <v>46265.03</v>
      </c>
      <c r="D142" s="63" t="s">
        <v>203</v>
      </c>
      <c r="E142" s="63" t="s">
        <v>121</v>
      </c>
      <c r="F142" s="63" t="s">
        <v>257</v>
      </c>
      <c r="G142" s="63" t="s">
        <v>180</v>
      </c>
      <c r="H142" s="63"/>
      <c r="I142" s="65" t="n">
        <f aca="false">IF(OR($B142="",$C142=""),"",$C142-$B142)</f>
        <v>0.53</v>
      </c>
      <c r="J142" s="66" t="str">
        <f aca="false">IF($B142="","",IF(AND($B142&gt;=Targets!$C$7,$B142&lt;Targets!$C$8+1),"Yes","No"))</f>
        <v>Yes</v>
      </c>
      <c r="K142" s="65" t="n">
        <f aca="false">IF($J142="Yes",$I142,"")</f>
        <v>0.53</v>
      </c>
      <c r="L142" s="66" t="str">
        <f aca="false">IF($G142="","",IFERROR(INDEX($O$6:$O$25,MATCH($G142,$N$6:$N$25,0)),"Unknown dept"))</f>
        <v>Operations</v>
      </c>
    </row>
    <row r="143" customFormat="false" ht="15" hidden="false" customHeight="true" outlineLevel="0" collapsed="false">
      <c r="A143" s="67" t="s">
        <v>419</v>
      </c>
      <c r="B143" s="68" t="n">
        <v>46264.5104166667</v>
      </c>
      <c r="C143" s="68" t="n">
        <v>46265.6204166667</v>
      </c>
      <c r="D143" s="67" t="s">
        <v>178</v>
      </c>
      <c r="E143" s="67" t="s">
        <v>121</v>
      </c>
      <c r="F143" s="67" t="s">
        <v>228</v>
      </c>
      <c r="G143" s="67" t="s">
        <v>199</v>
      </c>
      <c r="H143" s="67" t="s">
        <v>420</v>
      </c>
      <c r="I143" s="65" t="n">
        <f aca="false">IF(OR($B143="",$C143=""),"",$C143-$B143)</f>
        <v>1.11</v>
      </c>
      <c r="J143" s="66" t="str">
        <f aca="false">IF($B143="","",IF(AND($B143&gt;=Targets!$C$7,$B143&lt;Targets!$C$8+1),"Yes","No"))</f>
        <v>Yes</v>
      </c>
      <c r="K143" s="65" t="n">
        <f aca="false">IF($J143="Yes",$I143,"")</f>
        <v>1.11</v>
      </c>
      <c r="L143" s="66" t="str">
        <f aca="false">IF($G143="","",IFERROR(INDEX($O$6:$O$25,MATCH($G143,$N$6:$N$25,0)),"Unknown dept"))</f>
        <v>IT</v>
      </c>
    </row>
    <row r="144" customFormat="false" ht="15" hidden="false" customHeight="true" outlineLevel="0" collapsed="false">
      <c r="A144" s="63" t="s">
        <v>421</v>
      </c>
      <c r="B144" s="64" t="n">
        <v>46264.5173611111</v>
      </c>
      <c r="C144" s="64" t="n">
        <v>46265.1973611111</v>
      </c>
      <c r="D144" s="63" t="s">
        <v>191</v>
      </c>
      <c r="E144" s="63" t="s">
        <v>121</v>
      </c>
      <c r="F144" s="63" t="s">
        <v>213</v>
      </c>
      <c r="G144" s="63" t="s">
        <v>187</v>
      </c>
      <c r="H144" s="63"/>
      <c r="I144" s="65" t="n">
        <f aca="false">IF(OR($B144="",$C144=""),"",$C144-$B144)</f>
        <v>0.68</v>
      </c>
      <c r="J144" s="66" t="str">
        <f aca="false">IF($B144="","",IF(AND($B144&gt;=Targets!$C$7,$B144&lt;Targets!$C$8+1),"Yes","No"))</f>
        <v>Yes</v>
      </c>
      <c r="K144" s="65" t="n">
        <f aca="false">IF($J144="Yes",$I144,"")</f>
        <v>0.68</v>
      </c>
      <c r="L144" s="66" t="str">
        <f aca="false">IF($G144="","",IFERROR(INDEX($O$6:$O$25,MATCH($G144,$N$6:$N$25,0)),"Unknown dept"))</f>
        <v>Marketing</v>
      </c>
    </row>
    <row r="145" customFormat="false" ht="15" hidden="false" customHeight="true" outlineLevel="0" collapsed="false">
      <c r="A145" s="67" t="s">
        <v>422</v>
      </c>
      <c r="B145" s="68" t="n">
        <v>46264.6458333333</v>
      </c>
      <c r="C145" s="68" t="n">
        <v>46266.9458333333</v>
      </c>
      <c r="D145" s="67" t="s">
        <v>191</v>
      </c>
      <c r="E145" s="67" t="s">
        <v>121</v>
      </c>
      <c r="F145" s="67" t="s">
        <v>204</v>
      </c>
      <c r="G145" s="67" t="s">
        <v>193</v>
      </c>
      <c r="H145" s="67"/>
      <c r="I145" s="65" t="n">
        <f aca="false">IF(OR($B145="",$C145=""),"",$C145-$B145)</f>
        <v>2.29999999998843</v>
      </c>
      <c r="J145" s="66" t="str">
        <f aca="false">IF($B145="","",IF(AND($B145&gt;=Targets!$C$7,$B145&lt;Targets!$C$8+1),"Yes","No"))</f>
        <v>Yes</v>
      </c>
      <c r="K145" s="65" t="n">
        <f aca="false">IF($J145="Yes",$I145,"")</f>
        <v>2.29999999998843</v>
      </c>
      <c r="L145" s="66" t="str">
        <f aca="false">IF($G145="","",IFERROR(INDEX($O$6:$O$25,MATCH($G145,$N$6:$N$25,0)),"Unknown dept"))</f>
        <v>Procurement</v>
      </c>
    </row>
    <row r="146" customFormat="false" ht="15" hidden="false" customHeight="true" outlineLevel="0" collapsed="false">
      <c r="A146" s="63"/>
      <c r="B146" s="64"/>
      <c r="C146" s="64"/>
      <c r="D146" s="63"/>
      <c r="E146" s="63"/>
      <c r="F146" s="63"/>
      <c r="G146" s="63"/>
      <c r="H146" s="63"/>
      <c r="I146" s="65" t="str">
        <f aca="false">IF(OR($B146="",$C146=""),"",$C146-$B146)</f>
        <v/>
      </c>
      <c r="J146" s="66" t="str">
        <f aca="false">IF($B146="","",IF(AND($B146&gt;=Targets!$C$7,$B146&lt;Targets!$C$8+1),"Yes","No"))</f>
        <v/>
      </c>
      <c r="K146" s="65" t="str">
        <f aca="false">IF($J146="Yes",$I146,"")</f>
        <v/>
      </c>
      <c r="L146" s="66" t="str">
        <f aca="false">IF($G146="","",IFERROR(INDEX($O$6:$O$25,MATCH($G146,$N$6:$N$25,0)),"Unknown dept"))</f>
        <v/>
      </c>
    </row>
    <row r="147" customFormat="false" ht="15" hidden="false" customHeight="true" outlineLevel="0" collapsed="false">
      <c r="A147" s="67"/>
      <c r="B147" s="68"/>
      <c r="C147" s="68"/>
      <c r="D147" s="67"/>
      <c r="E147" s="67"/>
      <c r="F147" s="67"/>
      <c r="G147" s="67"/>
      <c r="H147" s="67"/>
      <c r="I147" s="65" t="str">
        <f aca="false">IF(OR($B147="",$C147=""),"",$C147-$B147)</f>
        <v/>
      </c>
      <c r="J147" s="66" t="str">
        <f aca="false">IF($B147="","",IF(AND($B147&gt;=Targets!$C$7,$B147&lt;Targets!$C$8+1),"Yes","No"))</f>
        <v/>
      </c>
      <c r="K147" s="65" t="str">
        <f aca="false">IF($J147="Yes",$I147,"")</f>
        <v/>
      </c>
      <c r="L147" s="66" t="str">
        <f aca="false">IF($G147="","",IFERROR(INDEX($O$6:$O$25,MATCH($G147,$N$6:$N$25,0)),"Unknown dept"))</f>
        <v/>
      </c>
    </row>
    <row r="148" customFormat="false" ht="15" hidden="false" customHeight="true" outlineLevel="0" collapsed="false">
      <c r="A148" s="63"/>
      <c r="B148" s="64"/>
      <c r="C148" s="64"/>
      <c r="D148" s="63"/>
      <c r="E148" s="63"/>
      <c r="F148" s="63"/>
      <c r="G148" s="63"/>
      <c r="H148" s="63"/>
      <c r="I148" s="65" t="str">
        <f aca="false">IF(OR($B148="",$C148=""),"",$C148-$B148)</f>
        <v/>
      </c>
      <c r="J148" s="66" t="str">
        <f aca="false">IF($B148="","",IF(AND($B148&gt;=Targets!$C$7,$B148&lt;Targets!$C$8+1),"Yes","No"))</f>
        <v/>
      </c>
      <c r="K148" s="65" t="str">
        <f aca="false">IF($J148="Yes",$I148,"")</f>
        <v/>
      </c>
      <c r="L148" s="66" t="str">
        <f aca="false">IF($G148="","",IFERROR(INDEX($O$6:$O$25,MATCH($G148,$N$6:$N$25,0)),"Unknown dept"))</f>
        <v/>
      </c>
    </row>
    <row r="149" customFormat="false" ht="15" hidden="false" customHeight="true" outlineLevel="0" collapsed="false">
      <c r="A149" s="67"/>
      <c r="B149" s="68"/>
      <c r="C149" s="68"/>
      <c r="D149" s="67"/>
      <c r="E149" s="67"/>
      <c r="F149" s="67"/>
      <c r="G149" s="67"/>
      <c r="H149" s="67"/>
      <c r="I149" s="65" t="str">
        <f aca="false">IF(OR($B149="",$C149=""),"",$C149-$B149)</f>
        <v/>
      </c>
      <c r="J149" s="66" t="str">
        <f aca="false">IF($B149="","",IF(AND($B149&gt;=Targets!$C$7,$B149&lt;Targets!$C$8+1),"Yes","No"))</f>
        <v/>
      </c>
      <c r="K149" s="65" t="str">
        <f aca="false">IF($J149="Yes",$I149,"")</f>
        <v/>
      </c>
      <c r="L149" s="66" t="str">
        <f aca="false">IF($G149="","",IFERROR(INDEX($O$6:$O$25,MATCH($G149,$N$6:$N$25,0)),"Unknown dept"))</f>
        <v/>
      </c>
    </row>
    <row r="150" customFormat="false" ht="15" hidden="false" customHeight="true" outlineLevel="0" collapsed="false">
      <c r="A150" s="63"/>
      <c r="B150" s="64"/>
      <c r="C150" s="64"/>
      <c r="D150" s="63"/>
      <c r="E150" s="63"/>
      <c r="F150" s="63"/>
      <c r="G150" s="63"/>
      <c r="H150" s="63"/>
      <c r="I150" s="65" t="str">
        <f aca="false">IF(OR($B150="",$C150=""),"",$C150-$B150)</f>
        <v/>
      </c>
      <c r="J150" s="66" t="str">
        <f aca="false">IF($B150="","",IF(AND($B150&gt;=Targets!$C$7,$B150&lt;Targets!$C$8+1),"Yes","No"))</f>
        <v/>
      </c>
      <c r="K150" s="65" t="str">
        <f aca="false">IF($J150="Yes",$I150,"")</f>
        <v/>
      </c>
      <c r="L150" s="66" t="str">
        <f aca="false">IF($G150="","",IFERROR(INDEX($O$6:$O$25,MATCH($G150,$N$6:$N$25,0)),"Unknown dept"))</f>
        <v/>
      </c>
    </row>
    <row r="151" customFormat="false" ht="15" hidden="false" customHeight="true" outlineLevel="0" collapsed="false">
      <c r="A151" s="67"/>
      <c r="B151" s="68"/>
      <c r="C151" s="68"/>
      <c r="D151" s="67"/>
      <c r="E151" s="67"/>
      <c r="F151" s="67"/>
      <c r="G151" s="67"/>
      <c r="H151" s="67"/>
      <c r="I151" s="65" t="str">
        <f aca="false">IF(OR($B151="",$C151=""),"",$C151-$B151)</f>
        <v/>
      </c>
      <c r="J151" s="66" t="str">
        <f aca="false">IF($B151="","",IF(AND($B151&gt;=Targets!$C$7,$B151&lt;Targets!$C$8+1),"Yes","No"))</f>
        <v/>
      </c>
      <c r="K151" s="65" t="str">
        <f aca="false">IF($J151="Yes",$I151,"")</f>
        <v/>
      </c>
      <c r="L151" s="66" t="str">
        <f aca="false">IF($G151="","",IFERROR(INDEX($O$6:$O$25,MATCH($G151,$N$6:$N$25,0)),"Unknown dept"))</f>
        <v/>
      </c>
    </row>
    <row r="152" customFormat="false" ht="15" hidden="false" customHeight="true" outlineLevel="0" collapsed="false">
      <c r="A152" s="63"/>
      <c r="B152" s="64"/>
      <c r="C152" s="64"/>
      <c r="D152" s="63"/>
      <c r="E152" s="63"/>
      <c r="F152" s="63"/>
      <c r="G152" s="63"/>
      <c r="H152" s="63"/>
      <c r="I152" s="65" t="str">
        <f aca="false">IF(OR($B152="",$C152=""),"",$C152-$B152)</f>
        <v/>
      </c>
      <c r="J152" s="66" t="str">
        <f aca="false">IF($B152="","",IF(AND($B152&gt;=Targets!$C$7,$B152&lt;Targets!$C$8+1),"Yes","No"))</f>
        <v/>
      </c>
      <c r="K152" s="65" t="str">
        <f aca="false">IF($J152="Yes",$I152,"")</f>
        <v/>
      </c>
      <c r="L152" s="66" t="str">
        <f aca="false">IF($G152="","",IFERROR(INDEX($O$6:$O$25,MATCH($G152,$N$6:$N$25,0)),"Unknown dept"))</f>
        <v/>
      </c>
    </row>
    <row r="153" customFormat="false" ht="15" hidden="false" customHeight="true" outlineLevel="0" collapsed="false">
      <c r="A153" s="67"/>
      <c r="B153" s="68"/>
      <c r="C153" s="68"/>
      <c r="D153" s="67"/>
      <c r="E153" s="67"/>
      <c r="F153" s="67"/>
      <c r="G153" s="67"/>
      <c r="H153" s="67"/>
      <c r="I153" s="65" t="str">
        <f aca="false">IF(OR($B153="",$C153=""),"",$C153-$B153)</f>
        <v/>
      </c>
      <c r="J153" s="66" t="str">
        <f aca="false">IF($B153="","",IF(AND($B153&gt;=Targets!$C$7,$B153&lt;Targets!$C$8+1),"Yes","No"))</f>
        <v/>
      </c>
      <c r="K153" s="65" t="str">
        <f aca="false">IF($J153="Yes",$I153,"")</f>
        <v/>
      </c>
      <c r="L153" s="66" t="str">
        <f aca="false">IF($G153="","",IFERROR(INDEX($O$6:$O$25,MATCH($G153,$N$6:$N$25,0)),"Unknown dept"))</f>
        <v/>
      </c>
    </row>
    <row r="154" customFormat="false" ht="15" hidden="false" customHeight="true" outlineLevel="0" collapsed="false">
      <c r="A154" s="63"/>
      <c r="B154" s="64"/>
      <c r="C154" s="64"/>
      <c r="D154" s="63"/>
      <c r="E154" s="63"/>
      <c r="F154" s="63"/>
      <c r="G154" s="63"/>
      <c r="H154" s="63"/>
      <c r="I154" s="65" t="str">
        <f aca="false">IF(OR($B154="",$C154=""),"",$C154-$B154)</f>
        <v/>
      </c>
      <c r="J154" s="66" t="str">
        <f aca="false">IF($B154="","",IF(AND($B154&gt;=Targets!$C$7,$B154&lt;Targets!$C$8+1),"Yes","No"))</f>
        <v/>
      </c>
      <c r="K154" s="65" t="str">
        <f aca="false">IF($J154="Yes",$I154,"")</f>
        <v/>
      </c>
      <c r="L154" s="66" t="str">
        <f aca="false">IF($G154="","",IFERROR(INDEX($O$6:$O$25,MATCH($G154,$N$6:$N$25,0)),"Unknown dept"))</f>
        <v/>
      </c>
    </row>
    <row r="155" customFormat="false" ht="15" hidden="false" customHeight="true" outlineLevel="0" collapsed="false">
      <c r="A155" s="67"/>
      <c r="B155" s="68"/>
      <c r="C155" s="68"/>
      <c r="D155" s="67"/>
      <c r="E155" s="67"/>
      <c r="F155" s="67"/>
      <c r="G155" s="67"/>
      <c r="H155" s="67"/>
      <c r="I155" s="65" t="str">
        <f aca="false">IF(OR($B155="",$C155=""),"",$C155-$B155)</f>
        <v/>
      </c>
      <c r="J155" s="66" t="str">
        <f aca="false">IF($B155="","",IF(AND($B155&gt;=Targets!$C$7,$B155&lt;Targets!$C$8+1),"Yes","No"))</f>
        <v/>
      </c>
      <c r="K155" s="65" t="str">
        <f aca="false">IF($J155="Yes",$I155,"")</f>
        <v/>
      </c>
      <c r="L155" s="66" t="str">
        <f aca="false">IF($G155="","",IFERROR(INDEX($O$6:$O$25,MATCH($G155,$N$6:$N$25,0)),"Unknown dept"))</f>
        <v/>
      </c>
    </row>
    <row r="156" customFormat="false" ht="15" hidden="false" customHeight="true" outlineLevel="0" collapsed="false">
      <c r="A156" s="63"/>
      <c r="B156" s="64"/>
      <c r="C156" s="64"/>
      <c r="D156" s="63"/>
      <c r="E156" s="63"/>
      <c r="F156" s="63"/>
      <c r="G156" s="63"/>
      <c r="H156" s="63"/>
      <c r="I156" s="65" t="str">
        <f aca="false">IF(OR($B156="",$C156=""),"",$C156-$B156)</f>
        <v/>
      </c>
      <c r="J156" s="66" t="str">
        <f aca="false">IF($B156="","",IF(AND($B156&gt;=Targets!$C$7,$B156&lt;Targets!$C$8+1),"Yes","No"))</f>
        <v/>
      </c>
      <c r="K156" s="65" t="str">
        <f aca="false">IF($J156="Yes",$I156,"")</f>
        <v/>
      </c>
      <c r="L156" s="66" t="str">
        <f aca="false">IF($G156="","",IFERROR(INDEX($O$6:$O$25,MATCH($G156,$N$6:$N$25,0)),"Unknown dept"))</f>
        <v/>
      </c>
    </row>
    <row r="157" customFormat="false" ht="15" hidden="false" customHeight="true" outlineLevel="0" collapsed="false">
      <c r="A157" s="67"/>
      <c r="B157" s="68"/>
      <c r="C157" s="68"/>
      <c r="D157" s="67"/>
      <c r="E157" s="67"/>
      <c r="F157" s="67"/>
      <c r="G157" s="67"/>
      <c r="H157" s="67"/>
      <c r="I157" s="65" t="str">
        <f aca="false">IF(OR($B157="",$C157=""),"",$C157-$B157)</f>
        <v/>
      </c>
      <c r="J157" s="66" t="str">
        <f aca="false">IF($B157="","",IF(AND($B157&gt;=Targets!$C$7,$B157&lt;Targets!$C$8+1),"Yes","No"))</f>
        <v/>
      </c>
      <c r="K157" s="65" t="str">
        <f aca="false">IF($J157="Yes",$I157,"")</f>
        <v/>
      </c>
      <c r="L157" s="66" t="str">
        <f aca="false">IF($G157="","",IFERROR(INDEX($O$6:$O$25,MATCH($G157,$N$6:$N$25,0)),"Unknown dept"))</f>
        <v/>
      </c>
    </row>
    <row r="158" customFormat="false" ht="15" hidden="false" customHeight="true" outlineLevel="0" collapsed="false">
      <c r="A158" s="63"/>
      <c r="B158" s="64"/>
      <c r="C158" s="64"/>
      <c r="D158" s="63"/>
      <c r="E158" s="63"/>
      <c r="F158" s="63"/>
      <c r="G158" s="63"/>
      <c r="H158" s="63"/>
      <c r="I158" s="65" t="str">
        <f aca="false">IF(OR($B158="",$C158=""),"",$C158-$B158)</f>
        <v/>
      </c>
      <c r="J158" s="66" t="str">
        <f aca="false">IF($B158="","",IF(AND($B158&gt;=Targets!$C$7,$B158&lt;Targets!$C$8+1),"Yes","No"))</f>
        <v/>
      </c>
      <c r="K158" s="65" t="str">
        <f aca="false">IF($J158="Yes",$I158,"")</f>
        <v/>
      </c>
      <c r="L158" s="66" t="str">
        <f aca="false">IF($G158="","",IFERROR(INDEX($O$6:$O$25,MATCH($G158,$N$6:$N$25,0)),"Unknown dept"))</f>
        <v/>
      </c>
    </row>
    <row r="159" customFormat="false" ht="15" hidden="false" customHeight="true" outlineLevel="0" collapsed="false">
      <c r="A159" s="67"/>
      <c r="B159" s="68"/>
      <c r="C159" s="68"/>
      <c r="D159" s="67"/>
      <c r="E159" s="67"/>
      <c r="F159" s="67"/>
      <c r="G159" s="67"/>
      <c r="H159" s="67"/>
      <c r="I159" s="65" t="str">
        <f aca="false">IF(OR($B159="",$C159=""),"",$C159-$B159)</f>
        <v/>
      </c>
      <c r="J159" s="66" t="str">
        <f aca="false">IF($B159="","",IF(AND($B159&gt;=Targets!$C$7,$B159&lt;Targets!$C$8+1),"Yes","No"))</f>
        <v/>
      </c>
      <c r="K159" s="65" t="str">
        <f aca="false">IF($J159="Yes",$I159,"")</f>
        <v/>
      </c>
      <c r="L159" s="66" t="str">
        <f aca="false">IF($G159="","",IFERROR(INDEX($O$6:$O$25,MATCH($G159,$N$6:$N$25,0)),"Unknown dept"))</f>
        <v/>
      </c>
    </row>
    <row r="160" customFormat="false" ht="15" hidden="false" customHeight="true" outlineLevel="0" collapsed="false">
      <c r="A160" s="63"/>
      <c r="B160" s="64"/>
      <c r="C160" s="64"/>
      <c r="D160" s="63"/>
      <c r="E160" s="63"/>
      <c r="F160" s="63"/>
      <c r="G160" s="63"/>
      <c r="H160" s="63"/>
      <c r="I160" s="65" t="str">
        <f aca="false">IF(OR($B160="",$C160=""),"",$C160-$B160)</f>
        <v/>
      </c>
      <c r="J160" s="66" t="str">
        <f aca="false">IF($B160="","",IF(AND($B160&gt;=Targets!$C$7,$B160&lt;Targets!$C$8+1),"Yes","No"))</f>
        <v/>
      </c>
      <c r="K160" s="65" t="str">
        <f aca="false">IF($J160="Yes",$I160,"")</f>
        <v/>
      </c>
      <c r="L160" s="66" t="str">
        <f aca="false">IF($G160="","",IFERROR(INDEX($O$6:$O$25,MATCH($G160,$N$6:$N$25,0)),"Unknown dept"))</f>
        <v/>
      </c>
    </row>
    <row r="161" customFormat="false" ht="15" hidden="false" customHeight="true" outlineLevel="0" collapsed="false">
      <c r="A161" s="67"/>
      <c r="B161" s="68"/>
      <c r="C161" s="68"/>
      <c r="D161" s="67"/>
      <c r="E161" s="67"/>
      <c r="F161" s="67"/>
      <c r="G161" s="67"/>
      <c r="H161" s="67"/>
      <c r="I161" s="65" t="str">
        <f aca="false">IF(OR($B161="",$C161=""),"",$C161-$B161)</f>
        <v/>
      </c>
      <c r="J161" s="66" t="str">
        <f aca="false">IF($B161="","",IF(AND($B161&gt;=Targets!$C$7,$B161&lt;Targets!$C$8+1),"Yes","No"))</f>
        <v/>
      </c>
      <c r="K161" s="65" t="str">
        <f aca="false">IF($J161="Yes",$I161,"")</f>
        <v/>
      </c>
      <c r="L161" s="66" t="str">
        <f aca="false">IF($G161="","",IFERROR(INDEX($O$6:$O$25,MATCH($G161,$N$6:$N$25,0)),"Unknown dept"))</f>
        <v/>
      </c>
    </row>
    <row r="162" customFormat="false" ht="15" hidden="false" customHeight="true" outlineLevel="0" collapsed="false">
      <c r="A162" s="63"/>
      <c r="B162" s="64"/>
      <c r="C162" s="64"/>
      <c r="D162" s="63"/>
      <c r="E162" s="63"/>
      <c r="F162" s="63"/>
      <c r="G162" s="63"/>
      <c r="H162" s="63"/>
      <c r="I162" s="65" t="str">
        <f aca="false">IF(OR($B162="",$C162=""),"",$C162-$B162)</f>
        <v/>
      </c>
      <c r="J162" s="66" t="str">
        <f aca="false">IF($B162="","",IF(AND($B162&gt;=Targets!$C$7,$B162&lt;Targets!$C$8+1),"Yes","No"))</f>
        <v/>
      </c>
      <c r="K162" s="65" t="str">
        <f aca="false">IF($J162="Yes",$I162,"")</f>
        <v/>
      </c>
      <c r="L162" s="66" t="str">
        <f aca="false">IF($G162="","",IFERROR(INDEX($O$6:$O$25,MATCH($G162,$N$6:$N$25,0)),"Unknown dept"))</f>
        <v/>
      </c>
    </row>
    <row r="163" customFormat="false" ht="15" hidden="false" customHeight="true" outlineLevel="0" collapsed="false">
      <c r="A163" s="67"/>
      <c r="B163" s="68"/>
      <c r="C163" s="68"/>
      <c r="D163" s="67"/>
      <c r="E163" s="67"/>
      <c r="F163" s="67"/>
      <c r="G163" s="67"/>
      <c r="H163" s="67"/>
      <c r="I163" s="65" t="str">
        <f aca="false">IF(OR($B163="",$C163=""),"",$C163-$B163)</f>
        <v/>
      </c>
      <c r="J163" s="66" t="str">
        <f aca="false">IF($B163="","",IF(AND($B163&gt;=Targets!$C$7,$B163&lt;Targets!$C$8+1),"Yes","No"))</f>
        <v/>
      </c>
      <c r="K163" s="65" t="str">
        <f aca="false">IF($J163="Yes",$I163,"")</f>
        <v/>
      </c>
      <c r="L163" s="66" t="str">
        <f aca="false">IF($G163="","",IFERROR(INDEX($O$6:$O$25,MATCH($G163,$N$6:$N$25,0)),"Unknown dept"))</f>
        <v/>
      </c>
    </row>
    <row r="164" customFormat="false" ht="15" hidden="false" customHeight="true" outlineLevel="0" collapsed="false">
      <c r="A164" s="63"/>
      <c r="B164" s="64"/>
      <c r="C164" s="64"/>
      <c r="D164" s="63"/>
      <c r="E164" s="63"/>
      <c r="F164" s="63"/>
      <c r="G164" s="63"/>
      <c r="H164" s="63"/>
      <c r="I164" s="65" t="str">
        <f aca="false">IF(OR($B164="",$C164=""),"",$C164-$B164)</f>
        <v/>
      </c>
      <c r="J164" s="66" t="str">
        <f aca="false">IF($B164="","",IF(AND($B164&gt;=Targets!$C$7,$B164&lt;Targets!$C$8+1),"Yes","No"))</f>
        <v/>
      </c>
      <c r="K164" s="65" t="str">
        <f aca="false">IF($J164="Yes",$I164,"")</f>
        <v/>
      </c>
      <c r="L164" s="66" t="str">
        <f aca="false">IF($G164="","",IFERROR(INDEX($O$6:$O$25,MATCH($G164,$N$6:$N$25,0)),"Unknown dept"))</f>
        <v/>
      </c>
    </row>
    <row r="165" customFormat="false" ht="15" hidden="false" customHeight="true" outlineLevel="0" collapsed="false">
      <c r="A165" s="67"/>
      <c r="B165" s="68"/>
      <c r="C165" s="68"/>
      <c r="D165" s="67"/>
      <c r="E165" s="67"/>
      <c r="F165" s="67"/>
      <c r="G165" s="67"/>
      <c r="H165" s="67"/>
      <c r="I165" s="65" t="str">
        <f aca="false">IF(OR($B165="",$C165=""),"",$C165-$B165)</f>
        <v/>
      </c>
      <c r="J165" s="66" t="str">
        <f aca="false">IF($B165="","",IF(AND($B165&gt;=Targets!$C$7,$B165&lt;Targets!$C$8+1),"Yes","No"))</f>
        <v/>
      </c>
      <c r="K165" s="65" t="str">
        <f aca="false">IF($J165="Yes",$I165,"")</f>
        <v/>
      </c>
      <c r="L165" s="66" t="str">
        <f aca="false">IF($G165="","",IFERROR(INDEX($O$6:$O$25,MATCH($G165,$N$6:$N$25,0)),"Unknown dept"))</f>
        <v/>
      </c>
    </row>
    <row r="166" customFormat="false" ht="15" hidden="false" customHeight="true" outlineLevel="0" collapsed="false">
      <c r="A166" s="63"/>
      <c r="B166" s="64"/>
      <c r="C166" s="64"/>
      <c r="D166" s="63"/>
      <c r="E166" s="63"/>
      <c r="F166" s="63"/>
      <c r="G166" s="63"/>
      <c r="H166" s="63"/>
      <c r="I166" s="65" t="str">
        <f aca="false">IF(OR($B166="",$C166=""),"",$C166-$B166)</f>
        <v/>
      </c>
      <c r="J166" s="66" t="str">
        <f aca="false">IF($B166="","",IF(AND($B166&gt;=Targets!$C$7,$B166&lt;Targets!$C$8+1),"Yes","No"))</f>
        <v/>
      </c>
      <c r="K166" s="65" t="str">
        <f aca="false">IF($J166="Yes",$I166,"")</f>
        <v/>
      </c>
      <c r="L166" s="66" t="str">
        <f aca="false">IF($G166="","",IFERROR(INDEX($O$6:$O$25,MATCH($G166,$N$6:$N$25,0)),"Unknown dept"))</f>
        <v/>
      </c>
    </row>
    <row r="167" customFormat="false" ht="15" hidden="false" customHeight="true" outlineLevel="0" collapsed="false">
      <c r="A167" s="67"/>
      <c r="B167" s="68"/>
      <c r="C167" s="68"/>
      <c r="D167" s="67"/>
      <c r="E167" s="67"/>
      <c r="F167" s="67"/>
      <c r="G167" s="67"/>
      <c r="H167" s="67"/>
      <c r="I167" s="65" t="str">
        <f aca="false">IF(OR($B167="",$C167=""),"",$C167-$B167)</f>
        <v/>
      </c>
      <c r="J167" s="66" t="str">
        <f aca="false">IF($B167="","",IF(AND($B167&gt;=Targets!$C$7,$B167&lt;Targets!$C$8+1),"Yes","No"))</f>
        <v/>
      </c>
      <c r="K167" s="65" t="str">
        <f aca="false">IF($J167="Yes",$I167,"")</f>
        <v/>
      </c>
      <c r="L167" s="66" t="str">
        <f aca="false">IF($G167="","",IFERROR(INDEX($O$6:$O$25,MATCH($G167,$N$6:$N$25,0)),"Unknown dept"))</f>
        <v/>
      </c>
    </row>
    <row r="168" customFormat="false" ht="15" hidden="false" customHeight="true" outlineLevel="0" collapsed="false">
      <c r="A168" s="63"/>
      <c r="B168" s="64"/>
      <c r="C168" s="64"/>
      <c r="D168" s="63"/>
      <c r="E168" s="63"/>
      <c r="F168" s="63"/>
      <c r="G168" s="63"/>
      <c r="H168" s="63"/>
      <c r="I168" s="65" t="str">
        <f aca="false">IF(OR($B168="",$C168=""),"",$C168-$B168)</f>
        <v/>
      </c>
      <c r="J168" s="66" t="str">
        <f aca="false">IF($B168="","",IF(AND($B168&gt;=Targets!$C$7,$B168&lt;Targets!$C$8+1),"Yes","No"))</f>
        <v/>
      </c>
      <c r="K168" s="65" t="str">
        <f aca="false">IF($J168="Yes",$I168,"")</f>
        <v/>
      </c>
      <c r="L168" s="66" t="str">
        <f aca="false">IF($G168="","",IFERROR(INDEX($O$6:$O$25,MATCH($G168,$N$6:$N$25,0)),"Unknown dept"))</f>
        <v/>
      </c>
    </row>
    <row r="169" customFormat="false" ht="15" hidden="false" customHeight="true" outlineLevel="0" collapsed="false">
      <c r="A169" s="67"/>
      <c r="B169" s="68"/>
      <c r="C169" s="68"/>
      <c r="D169" s="67"/>
      <c r="E169" s="67"/>
      <c r="F169" s="67"/>
      <c r="G169" s="67"/>
      <c r="H169" s="67"/>
      <c r="I169" s="65" t="str">
        <f aca="false">IF(OR($B169="",$C169=""),"",$C169-$B169)</f>
        <v/>
      </c>
      <c r="J169" s="66" t="str">
        <f aca="false">IF($B169="","",IF(AND($B169&gt;=Targets!$C$7,$B169&lt;Targets!$C$8+1),"Yes","No"))</f>
        <v/>
      </c>
      <c r="K169" s="65" t="str">
        <f aca="false">IF($J169="Yes",$I169,"")</f>
        <v/>
      </c>
      <c r="L169" s="66" t="str">
        <f aca="false">IF($G169="","",IFERROR(INDEX($O$6:$O$25,MATCH($G169,$N$6:$N$25,0)),"Unknown dept"))</f>
        <v/>
      </c>
    </row>
    <row r="170" customFormat="false" ht="15" hidden="false" customHeight="true" outlineLevel="0" collapsed="false">
      <c r="A170" s="63"/>
      <c r="B170" s="64"/>
      <c r="C170" s="64"/>
      <c r="D170" s="63"/>
      <c r="E170" s="63"/>
      <c r="F170" s="63"/>
      <c r="G170" s="63"/>
      <c r="H170" s="63"/>
      <c r="I170" s="65" t="str">
        <f aca="false">IF(OR($B170="",$C170=""),"",$C170-$B170)</f>
        <v/>
      </c>
      <c r="J170" s="66" t="str">
        <f aca="false">IF($B170="","",IF(AND($B170&gt;=Targets!$C$7,$B170&lt;Targets!$C$8+1),"Yes","No"))</f>
        <v/>
      </c>
      <c r="K170" s="65" t="str">
        <f aca="false">IF($J170="Yes",$I170,"")</f>
        <v/>
      </c>
      <c r="L170" s="66" t="str">
        <f aca="false">IF($G170="","",IFERROR(INDEX($O$6:$O$25,MATCH($G170,$N$6:$N$25,0)),"Unknown dept"))</f>
        <v/>
      </c>
    </row>
    <row r="171" customFormat="false" ht="15" hidden="false" customHeight="true" outlineLevel="0" collapsed="false">
      <c r="A171" s="67"/>
      <c r="B171" s="68"/>
      <c r="C171" s="68"/>
      <c r="D171" s="67"/>
      <c r="E171" s="67"/>
      <c r="F171" s="67"/>
      <c r="G171" s="67"/>
      <c r="H171" s="67"/>
      <c r="I171" s="65" t="str">
        <f aca="false">IF(OR($B171="",$C171=""),"",$C171-$B171)</f>
        <v/>
      </c>
      <c r="J171" s="66" t="str">
        <f aca="false">IF($B171="","",IF(AND($B171&gt;=Targets!$C$7,$B171&lt;Targets!$C$8+1),"Yes","No"))</f>
        <v/>
      </c>
      <c r="K171" s="65" t="str">
        <f aca="false">IF($J171="Yes",$I171,"")</f>
        <v/>
      </c>
      <c r="L171" s="66" t="str">
        <f aca="false">IF($G171="","",IFERROR(INDEX($O$6:$O$25,MATCH($G171,$N$6:$N$25,0)),"Unknown dept"))</f>
        <v/>
      </c>
    </row>
    <row r="172" customFormat="false" ht="15" hidden="false" customHeight="true" outlineLevel="0" collapsed="false">
      <c r="A172" s="63"/>
      <c r="B172" s="64"/>
      <c r="C172" s="64"/>
      <c r="D172" s="63"/>
      <c r="E172" s="63"/>
      <c r="F172" s="63"/>
      <c r="G172" s="63"/>
      <c r="H172" s="63"/>
      <c r="I172" s="65" t="str">
        <f aca="false">IF(OR($B172="",$C172=""),"",$C172-$B172)</f>
        <v/>
      </c>
      <c r="J172" s="66" t="str">
        <f aca="false">IF($B172="","",IF(AND($B172&gt;=Targets!$C$7,$B172&lt;Targets!$C$8+1),"Yes","No"))</f>
        <v/>
      </c>
      <c r="K172" s="65" t="str">
        <f aca="false">IF($J172="Yes",$I172,"")</f>
        <v/>
      </c>
      <c r="L172" s="66" t="str">
        <f aca="false">IF($G172="","",IFERROR(INDEX($O$6:$O$25,MATCH($G172,$N$6:$N$25,0)),"Unknown dept"))</f>
        <v/>
      </c>
    </row>
    <row r="173" customFormat="false" ht="15" hidden="false" customHeight="true" outlineLevel="0" collapsed="false">
      <c r="A173" s="67"/>
      <c r="B173" s="68"/>
      <c r="C173" s="68"/>
      <c r="D173" s="67"/>
      <c r="E173" s="67"/>
      <c r="F173" s="67"/>
      <c r="G173" s="67"/>
      <c r="H173" s="67"/>
      <c r="I173" s="65" t="str">
        <f aca="false">IF(OR($B173="",$C173=""),"",$C173-$B173)</f>
        <v/>
      </c>
      <c r="J173" s="66" t="str">
        <f aca="false">IF($B173="","",IF(AND($B173&gt;=Targets!$C$7,$B173&lt;Targets!$C$8+1),"Yes","No"))</f>
        <v/>
      </c>
      <c r="K173" s="65" t="str">
        <f aca="false">IF($J173="Yes",$I173,"")</f>
        <v/>
      </c>
      <c r="L173" s="66" t="str">
        <f aca="false">IF($G173="","",IFERROR(INDEX($O$6:$O$25,MATCH($G173,$N$6:$N$25,0)),"Unknown dept"))</f>
        <v/>
      </c>
    </row>
    <row r="174" customFormat="false" ht="15" hidden="false" customHeight="true" outlineLevel="0" collapsed="false">
      <c r="A174" s="63"/>
      <c r="B174" s="64"/>
      <c r="C174" s="64"/>
      <c r="D174" s="63"/>
      <c r="E174" s="63"/>
      <c r="F174" s="63"/>
      <c r="G174" s="63"/>
      <c r="H174" s="63"/>
      <c r="I174" s="65" t="str">
        <f aca="false">IF(OR($B174="",$C174=""),"",$C174-$B174)</f>
        <v/>
      </c>
      <c r="J174" s="66" t="str">
        <f aca="false">IF($B174="","",IF(AND($B174&gt;=Targets!$C$7,$B174&lt;Targets!$C$8+1),"Yes","No"))</f>
        <v/>
      </c>
      <c r="K174" s="65" t="str">
        <f aca="false">IF($J174="Yes",$I174,"")</f>
        <v/>
      </c>
      <c r="L174" s="66" t="str">
        <f aca="false">IF($G174="","",IFERROR(INDEX($O$6:$O$25,MATCH($G174,$N$6:$N$25,0)),"Unknown dept"))</f>
        <v/>
      </c>
    </row>
    <row r="175" customFormat="false" ht="15" hidden="false" customHeight="true" outlineLevel="0" collapsed="false">
      <c r="A175" s="67"/>
      <c r="B175" s="68"/>
      <c r="C175" s="68"/>
      <c r="D175" s="67"/>
      <c r="E175" s="67"/>
      <c r="F175" s="67"/>
      <c r="G175" s="67"/>
      <c r="H175" s="67"/>
      <c r="I175" s="65" t="str">
        <f aca="false">IF(OR($B175="",$C175=""),"",$C175-$B175)</f>
        <v/>
      </c>
      <c r="J175" s="66" t="str">
        <f aca="false">IF($B175="","",IF(AND($B175&gt;=Targets!$C$7,$B175&lt;Targets!$C$8+1),"Yes","No"))</f>
        <v/>
      </c>
      <c r="K175" s="65" t="str">
        <f aca="false">IF($J175="Yes",$I175,"")</f>
        <v/>
      </c>
      <c r="L175" s="66" t="str">
        <f aca="false">IF($G175="","",IFERROR(INDEX($O$6:$O$25,MATCH($G175,$N$6:$N$25,0)),"Unknown dept"))</f>
        <v/>
      </c>
    </row>
    <row r="176" customFormat="false" ht="15" hidden="false" customHeight="true" outlineLevel="0" collapsed="false">
      <c r="A176" s="63"/>
      <c r="B176" s="64"/>
      <c r="C176" s="64"/>
      <c r="D176" s="63"/>
      <c r="E176" s="63"/>
      <c r="F176" s="63"/>
      <c r="G176" s="63"/>
      <c r="H176" s="63"/>
      <c r="I176" s="65" t="str">
        <f aca="false">IF(OR($B176="",$C176=""),"",$C176-$B176)</f>
        <v/>
      </c>
      <c r="J176" s="66" t="str">
        <f aca="false">IF($B176="","",IF(AND($B176&gt;=Targets!$C$7,$B176&lt;Targets!$C$8+1),"Yes","No"))</f>
        <v/>
      </c>
      <c r="K176" s="65" t="str">
        <f aca="false">IF($J176="Yes",$I176,"")</f>
        <v/>
      </c>
      <c r="L176" s="66" t="str">
        <f aca="false">IF($G176="","",IFERROR(INDEX($O$6:$O$25,MATCH($G176,$N$6:$N$25,0)),"Unknown dept"))</f>
        <v/>
      </c>
    </row>
    <row r="177" customFormat="false" ht="15" hidden="false" customHeight="true" outlineLevel="0" collapsed="false">
      <c r="A177" s="67"/>
      <c r="B177" s="68"/>
      <c r="C177" s="68"/>
      <c r="D177" s="67"/>
      <c r="E177" s="67"/>
      <c r="F177" s="67"/>
      <c r="G177" s="67"/>
      <c r="H177" s="67"/>
      <c r="I177" s="65" t="str">
        <f aca="false">IF(OR($B177="",$C177=""),"",$C177-$B177)</f>
        <v/>
      </c>
      <c r="J177" s="66" t="str">
        <f aca="false">IF($B177="","",IF(AND($B177&gt;=Targets!$C$7,$B177&lt;Targets!$C$8+1),"Yes","No"))</f>
        <v/>
      </c>
      <c r="K177" s="65" t="str">
        <f aca="false">IF($J177="Yes",$I177,"")</f>
        <v/>
      </c>
      <c r="L177" s="66" t="str">
        <f aca="false">IF($G177="","",IFERROR(INDEX($O$6:$O$25,MATCH($G177,$N$6:$N$25,0)),"Unknown dept"))</f>
        <v/>
      </c>
    </row>
    <row r="178" customFormat="false" ht="15" hidden="false" customHeight="true" outlineLevel="0" collapsed="false">
      <c r="A178" s="63"/>
      <c r="B178" s="64"/>
      <c r="C178" s="64"/>
      <c r="D178" s="63"/>
      <c r="E178" s="63"/>
      <c r="F178" s="63"/>
      <c r="G178" s="63"/>
      <c r="H178" s="63"/>
      <c r="I178" s="65" t="str">
        <f aca="false">IF(OR($B178="",$C178=""),"",$C178-$B178)</f>
        <v/>
      </c>
      <c r="J178" s="66" t="str">
        <f aca="false">IF($B178="","",IF(AND($B178&gt;=Targets!$C$7,$B178&lt;Targets!$C$8+1),"Yes","No"))</f>
        <v/>
      </c>
      <c r="K178" s="65" t="str">
        <f aca="false">IF($J178="Yes",$I178,"")</f>
        <v/>
      </c>
      <c r="L178" s="66" t="str">
        <f aca="false">IF($G178="","",IFERROR(INDEX($O$6:$O$25,MATCH($G178,$N$6:$N$25,0)),"Unknown dept"))</f>
        <v/>
      </c>
    </row>
    <row r="179" customFormat="false" ht="15" hidden="false" customHeight="true" outlineLevel="0" collapsed="false">
      <c r="A179" s="67"/>
      <c r="B179" s="68"/>
      <c r="C179" s="68"/>
      <c r="D179" s="67"/>
      <c r="E179" s="67"/>
      <c r="F179" s="67"/>
      <c r="G179" s="67"/>
      <c r="H179" s="67"/>
      <c r="I179" s="65" t="str">
        <f aca="false">IF(OR($B179="",$C179=""),"",$C179-$B179)</f>
        <v/>
      </c>
      <c r="J179" s="66" t="str">
        <f aca="false">IF($B179="","",IF(AND($B179&gt;=Targets!$C$7,$B179&lt;Targets!$C$8+1),"Yes","No"))</f>
        <v/>
      </c>
      <c r="K179" s="65" t="str">
        <f aca="false">IF($J179="Yes",$I179,"")</f>
        <v/>
      </c>
      <c r="L179" s="66" t="str">
        <f aca="false">IF($G179="","",IFERROR(INDEX($O$6:$O$25,MATCH($G179,$N$6:$N$25,0)),"Unknown dept"))</f>
        <v/>
      </c>
    </row>
    <row r="180" customFormat="false" ht="15" hidden="false" customHeight="true" outlineLevel="0" collapsed="false">
      <c r="A180" s="63"/>
      <c r="B180" s="64"/>
      <c r="C180" s="64"/>
      <c r="D180" s="63"/>
      <c r="E180" s="63"/>
      <c r="F180" s="63"/>
      <c r="G180" s="63"/>
      <c r="H180" s="63"/>
      <c r="I180" s="65" t="str">
        <f aca="false">IF(OR($B180="",$C180=""),"",$C180-$B180)</f>
        <v/>
      </c>
      <c r="J180" s="66" t="str">
        <f aca="false">IF($B180="","",IF(AND($B180&gt;=Targets!$C$7,$B180&lt;Targets!$C$8+1),"Yes","No"))</f>
        <v/>
      </c>
      <c r="K180" s="65" t="str">
        <f aca="false">IF($J180="Yes",$I180,"")</f>
        <v/>
      </c>
      <c r="L180" s="66" t="str">
        <f aca="false">IF($G180="","",IFERROR(INDEX($O$6:$O$25,MATCH($G180,$N$6:$N$25,0)),"Unknown dept"))</f>
        <v/>
      </c>
    </row>
    <row r="181" customFormat="false" ht="15" hidden="false" customHeight="true" outlineLevel="0" collapsed="false">
      <c r="A181" s="67"/>
      <c r="B181" s="68"/>
      <c r="C181" s="68"/>
      <c r="D181" s="67"/>
      <c r="E181" s="67"/>
      <c r="F181" s="67"/>
      <c r="G181" s="67"/>
      <c r="H181" s="67"/>
      <c r="I181" s="65" t="str">
        <f aca="false">IF(OR($B181="",$C181=""),"",$C181-$B181)</f>
        <v/>
      </c>
      <c r="J181" s="66" t="str">
        <f aca="false">IF($B181="","",IF(AND($B181&gt;=Targets!$C$7,$B181&lt;Targets!$C$8+1),"Yes","No"))</f>
        <v/>
      </c>
      <c r="K181" s="65" t="str">
        <f aca="false">IF($J181="Yes",$I181,"")</f>
        <v/>
      </c>
      <c r="L181" s="66" t="str">
        <f aca="false">IF($G181="","",IFERROR(INDEX($O$6:$O$25,MATCH($G181,$N$6:$N$25,0)),"Unknown dept"))</f>
        <v/>
      </c>
    </row>
    <row r="182" customFormat="false" ht="15" hidden="false" customHeight="true" outlineLevel="0" collapsed="false">
      <c r="A182" s="63"/>
      <c r="B182" s="64"/>
      <c r="C182" s="64"/>
      <c r="D182" s="63"/>
      <c r="E182" s="63"/>
      <c r="F182" s="63"/>
      <c r="G182" s="63"/>
      <c r="H182" s="63"/>
      <c r="I182" s="65" t="str">
        <f aca="false">IF(OR($B182="",$C182=""),"",$C182-$B182)</f>
        <v/>
      </c>
      <c r="J182" s="66" t="str">
        <f aca="false">IF($B182="","",IF(AND($B182&gt;=Targets!$C$7,$B182&lt;Targets!$C$8+1),"Yes","No"))</f>
        <v/>
      </c>
      <c r="K182" s="65" t="str">
        <f aca="false">IF($J182="Yes",$I182,"")</f>
        <v/>
      </c>
      <c r="L182" s="66" t="str">
        <f aca="false">IF($G182="","",IFERROR(INDEX($O$6:$O$25,MATCH($G182,$N$6:$N$25,0)),"Unknown dept"))</f>
        <v/>
      </c>
    </row>
    <row r="183" customFormat="false" ht="15" hidden="false" customHeight="true" outlineLevel="0" collapsed="false">
      <c r="A183" s="67"/>
      <c r="B183" s="68"/>
      <c r="C183" s="68"/>
      <c r="D183" s="67"/>
      <c r="E183" s="67"/>
      <c r="F183" s="67"/>
      <c r="G183" s="67"/>
      <c r="H183" s="67"/>
      <c r="I183" s="65" t="str">
        <f aca="false">IF(OR($B183="",$C183=""),"",$C183-$B183)</f>
        <v/>
      </c>
      <c r="J183" s="66" t="str">
        <f aca="false">IF($B183="","",IF(AND($B183&gt;=Targets!$C$7,$B183&lt;Targets!$C$8+1),"Yes","No"))</f>
        <v/>
      </c>
      <c r="K183" s="65" t="str">
        <f aca="false">IF($J183="Yes",$I183,"")</f>
        <v/>
      </c>
      <c r="L183" s="66" t="str">
        <f aca="false">IF($G183="","",IFERROR(INDEX($O$6:$O$25,MATCH($G183,$N$6:$N$25,0)),"Unknown dept"))</f>
        <v/>
      </c>
    </row>
    <row r="184" customFormat="false" ht="15" hidden="false" customHeight="true" outlineLevel="0" collapsed="false">
      <c r="A184" s="63"/>
      <c r="B184" s="64"/>
      <c r="C184" s="64"/>
      <c r="D184" s="63"/>
      <c r="E184" s="63"/>
      <c r="F184" s="63"/>
      <c r="G184" s="63"/>
      <c r="H184" s="63"/>
      <c r="I184" s="65" t="str">
        <f aca="false">IF(OR($B184="",$C184=""),"",$C184-$B184)</f>
        <v/>
      </c>
      <c r="J184" s="66" t="str">
        <f aca="false">IF($B184="","",IF(AND($B184&gt;=Targets!$C$7,$B184&lt;Targets!$C$8+1),"Yes","No"))</f>
        <v/>
      </c>
      <c r="K184" s="65" t="str">
        <f aca="false">IF($J184="Yes",$I184,"")</f>
        <v/>
      </c>
      <c r="L184" s="66" t="str">
        <f aca="false">IF($G184="","",IFERROR(INDEX($O$6:$O$25,MATCH($G184,$N$6:$N$25,0)),"Unknown dept"))</f>
        <v/>
      </c>
    </row>
    <row r="185" customFormat="false" ht="15" hidden="false" customHeight="true" outlineLevel="0" collapsed="false">
      <c r="A185" s="67"/>
      <c r="B185" s="68"/>
      <c r="C185" s="68"/>
      <c r="D185" s="67"/>
      <c r="E185" s="67"/>
      <c r="F185" s="67"/>
      <c r="G185" s="67"/>
      <c r="H185" s="67"/>
      <c r="I185" s="65" t="str">
        <f aca="false">IF(OR($B185="",$C185=""),"",$C185-$B185)</f>
        <v/>
      </c>
      <c r="J185" s="66" t="str">
        <f aca="false">IF($B185="","",IF(AND($B185&gt;=Targets!$C$7,$B185&lt;Targets!$C$8+1),"Yes","No"))</f>
        <v/>
      </c>
      <c r="K185" s="65" t="str">
        <f aca="false">IF($J185="Yes",$I185,"")</f>
        <v/>
      </c>
      <c r="L185" s="66" t="str">
        <f aca="false">IF($G185="","",IFERROR(INDEX($O$6:$O$25,MATCH($G185,$N$6:$N$25,0)),"Unknown dept"))</f>
        <v/>
      </c>
    </row>
    <row r="186" customFormat="false" ht="15" hidden="false" customHeight="true" outlineLevel="0" collapsed="false">
      <c r="A186" s="63"/>
      <c r="B186" s="64"/>
      <c r="C186" s="64"/>
      <c r="D186" s="63"/>
      <c r="E186" s="63"/>
      <c r="F186" s="63"/>
      <c r="G186" s="63"/>
      <c r="H186" s="63"/>
      <c r="I186" s="65" t="str">
        <f aca="false">IF(OR($B186="",$C186=""),"",$C186-$B186)</f>
        <v/>
      </c>
      <c r="J186" s="66" t="str">
        <f aca="false">IF($B186="","",IF(AND($B186&gt;=Targets!$C$7,$B186&lt;Targets!$C$8+1),"Yes","No"))</f>
        <v/>
      </c>
      <c r="K186" s="65" t="str">
        <f aca="false">IF($J186="Yes",$I186,"")</f>
        <v/>
      </c>
      <c r="L186" s="66" t="str">
        <f aca="false">IF($G186="","",IFERROR(INDEX($O$6:$O$25,MATCH($G186,$N$6:$N$25,0)),"Unknown dept"))</f>
        <v/>
      </c>
    </row>
    <row r="187" customFormat="false" ht="15" hidden="false" customHeight="true" outlineLevel="0" collapsed="false">
      <c r="A187" s="67"/>
      <c r="B187" s="68"/>
      <c r="C187" s="68"/>
      <c r="D187" s="67"/>
      <c r="E187" s="67"/>
      <c r="F187" s="67"/>
      <c r="G187" s="67"/>
      <c r="H187" s="67"/>
      <c r="I187" s="65" t="str">
        <f aca="false">IF(OR($B187="",$C187=""),"",$C187-$B187)</f>
        <v/>
      </c>
      <c r="J187" s="66" t="str">
        <f aca="false">IF($B187="","",IF(AND($B187&gt;=Targets!$C$7,$B187&lt;Targets!$C$8+1),"Yes","No"))</f>
        <v/>
      </c>
      <c r="K187" s="65" t="str">
        <f aca="false">IF($J187="Yes",$I187,"")</f>
        <v/>
      </c>
      <c r="L187" s="66" t="str">
        <f aca="false">IF($G187="","",IFERROR(INDEX($O$6:$O$25,MATCH($G187,$N$6:$N$25,0)),"Unknown dept"))</f>
        <v/>
      </c>
    </row>
    <row r="188" customFormat="false" ht="15" hidden="false" customHeight="true" outlineLevel="0" collapsed="false">
      <c r="A188" s="63"/>
      <c r="B188" s="64"/>
      <c r="C188" s="64"/>
      <c r="D188" s="63"/>
      <c r="E188" s="63"/>
      <c r="F188" s="63"/>
      <c r="G188" s="63"/>
      <c r="H188" s="63"/>
      <c r="I188" s="65" t="str">
        <f aca="false">IF(OR($B188="",$C188=""),"",$C188-$B188)</f>
        <v/>
      </c>
      <c r="J188" s="66" t="str">
        <f aca="false">IF($B188="","",IF(AND($B188&gt;=Targets!$C$7,$B188&lt;Targets!$C$8+1),"Yes","No"))</f>
        <v/>
      </c>
      <c r="K188" s="65" t="str">
        <f aca="false">IF($J188="Yes",$I188,"")</f>
        <v/>
      </c>
      <c r="L188" s="66" t="str">
        <f aca="false">IF($G188="","",IFERROR(INDEX($O$6:$O$25,MATCH($G188,$N$6:$N$25,0)),"Unknown dept"))</f>
        <v/>
      </c>
    </row>
    <row r="189" customFormat="false" ht="15" hidden="false" customHeight="true" outlineLevel="0" collapsed="false">
      <c r="A189" s="67"/>
      <c r="B189" s="68"/>
      <c r="C189" s="68"/>
      <c r="D189" s="67"/>
      <c r="E189" s="67"/>
      <c r="F189" s="67"/>
      <c r="G189" s="67"/>
      <c r="H189" s="67"/>
      <c r="I189" s="65" t="str">
        <f aca="false">IF(OR($B189="",$C189=""),"",$C189-$B189)</f>
        <v/>
      </c>
      <c r="J189" s="66" t="str">
        <f aca="false">IF($B189="","",IF(AND($B189&gt;=Targets!$C$7,$B189&lt;Targets!$C$8+1),"Yes","No"))</f>
        <v/>
      </c>
      <c r="K189" s="65" t="str">
        <f aca="false">IF($J189="Yes",$I189,"")</f>
        <v/>
      </c>
      <c r="L189" s="66" t="str">
        <f aca="false">IF($G189="","",IFERROR(INDEX($O$6:$O$25,MATCH($G189,$N$6:$N$25,0)),"Unknown dept"))</f>
        <v/>
      </c>
    </row>
    <row r="190" customFormat="false" ht="15" hidden="false" customHeight="true" outlineLevel="0" collapsed="false">
      <c r="A190" s="63"/>
      <c r="B190" s="64"/>
      <c r="C190" s="64"/>
      <c r="D190" s="63"/>
      <c r="E190" s="63"/>
      <c r="F190" s="63"/>
      <c r="G190" s="63"/>
      <c r="H190" s="63"/>
      <c r="I190" s="65" t="str">
        <f aca="false">IF(OR($B190="",$C190=""),"",$C190-$B190)</f>
        <v/>
      </c>
      <c r="J190" s="66" t="str">
        <f aca="false">IF($B190="","",IF(AND($B190&gt;=Targets!$C$7,$B190&lt;Targets!$C$8+1),"Yes","No"))</f>
        <v/>
      </c>
      <c r="K190" s="65" t="str">
        <f aca="false">IF($J190="Yes",$I190,"")</f>
        <v/>
      </c>
      <c r="L190" s="66" t="str">
        <f aca="false">IF($G190="","",IFERROR(INDEX($O$6:$O$25,MATCH($G190,$N$6:$N$25,0)),"Unknown dept"))</f>
        <v/>
      </c>
    </row>
    <row r="191" customFormat="false" ht="15" hidden="false" customHeight="true" outlineLevel="0" collapsed="false">
      <c r="A191" s="67"/>
      <c r="B191" s="68"/>
      <c r="C191" s="68"/>
      <c r="D191" s="67"/>
      <c r="E191" s="67"/>
      <c r="F191" s="67"/>
      <c r="G191" s="67"/>
      <c r="H191" s="67"/>
      <c r="I191" s="65" t="str">
        <f aca="false">IF(OR($B191="",$C191=""),"",$C191-$B191)</f>
        <v/>
      </c>
      <c r="J191" s="66" t="str">
        <f aca="false">IF($B191="","",IF(AND($B191&gt;=Targets!$C$7,$B191&lt;Targets!$C$8+1),"Yes","No"))</f>
        <v/>
      </c>
      <c r="K191" s="65" t="str">
        <f aca="false">IF($J191="Yes",$I191,"")</f>
        <v/>
      </c>
      <c r="L191" s="66" t="str">
        <f aca="false">IF($G191="","",IFERROR(INDEX($O$6:$O$25,MATCH($G191,$N$6:$N$25,0)),"Unknown dept"))</f>
        <v/>
      </c>
    </row>
    <row r="192" customFormat="false" ht="15" hidden="false" customHeight="true" outlineLevel="0" collapsed="false">
      <c r="A192" s="63"/>
      <c r="B192" s="64"/>
      <c r="C192" s="64"/>
      <c r="D192" s="63"/>
      <c r="E192" s="63"/>
      <c r="F192" s="63"/>
      <c r="G192" s="63"/>
      <c r="H192" s="63"/>
      <c r="I192" s="65" t="str">
        <f aca="false">IF(OR($B192="",$C192=""),"",$C192-$B192)</f>
        <v/>
      </c>
      <c r="J192" s="66" t="str">
        <f aca="false">IF($B192="","",IF(AND($B192&gt;=Targets!$C$7,$B192&lt;Targets!$C$8+1),"Yes","No"))</f>
        <v/>
      </c>
      <c r="K192" s="65" t="str">
        <f aca="false">IF($J192="Yes",$I192,"")</f>
        <v/>
      </c>
      <c r="L192" s="66" t="str">
        <f aca="false">IF($G192="","",IFERROR(INDEX($O$6:$O$25,MATCH($G192,$N$6:$N$25,0)),"Unknown dept"))</f>
        <v/>
      </c>
    </row>
    <row r="193" customFormat="false" ht="15" hidden="false" customHeight="true" outlineLevel="0" collapsed="false">
      <c r="A193" s="67"/>
      <c r="B193" s="68"/>
      <c r="C193" s="68"/>
      <c r="D193" s="67"/>
      <c r="E193" s="67"/>
      <c r="F193" s="67"/>
      <c r="G193" s="67"/>
      <c r="H193" s="67"/>
      <c r="I193" s="65" t="str">
        <f aca="false">IF(OR($B193="",$C193=""),"",$C193-$B193)</f>
        <v/>
      </c>
      <c r="J193" s="66" t="str">
        <f aca="false">IF($B193="","",IF(AND($B193&gt;=Targets!$C$7,$B193&lt;Targets!$C$8+1),"Yes","No"))</f>
        <v/>
      </c>
      <c r="K193" s="65" t="str">
        <f aca="false">IF($J193="Yes",$I193,"")</f>
        <v/>
      </c>
      <c r="L193" s="66" t="str">
        <f aca="false">IF($G193="","",IFERROR(INDEX($O$6:$O$25,MATCH($G193,$N$6:$N$25,0)),"Unknown dept"))</f>
        <v/>
      </c>
    </row>
    <row r="194" customFormat="false" ht="15" hidden="false" customHeight="true" outlineLevel="0" collapsed="false">
      <c r="A194" s="63"/>
      <c r="B194" s="64"/>
      <c r="C194" s="64"/>
      <c r="D194" s="63"/>
      <c r="E194" s="63"/>
      <c r="F194" s="63"/>
      <c r="G194" s="63"/>
      <c r="H194" s="63"/>
      <c r="I194" s="65" t="str">
        <f aca="false">IF(OR($B194="",$C194=""),"",$C194-$B194)</f>
        <v/>
      </c>
      <c r="J194" s="66" t="str">
        <f aca="false">IF($B194="","",IF(AND($B194&gt;=Targets!$C$7,$B194&lt;Targets!$C$8+1),"Yes","No"))</f>
        <v/>
      </c>
      <c r="K194" s="65" t="str">
        <f aca="false">IF($J194="Yes",$I194,"")</f>
        <v/>
      </c>
      <c r="L194" s="66" t="str">
        <f aca="false">IF($G194="","",IFERROR(INDEX($O$6:$O$25,MATCH($G194,$N$6:$N$25,0)),"Unknown dept"))</f>
        <v/>
      </c>
    </row>
    <row r="195" customFormat="false" ht="15" hidden="false" customHeight="true" outlineLevel="0" collapsed="false">
      <c r="A195" s="67"/>
      <c r="B195" s="68"/>
      <c r="C195" s="68"/>
      <c r="D195" s="67"/>
      <c r="E195" s="67"/>
      <c r="F195" s="67"/>
      <c r="G195" s="67"/>
      <c r="H195" s="67"/>
      <c r="I195" s="65" t="str">
        <f aca="false">IF(OR($B195="",$C195=""),"",$C195-$B195)</f>
        <v/>
      </c>
      <c r="J195" s="66" t="str">
        <f aca="false">IF($B195="","",IF(AND($B195&gt;=Targets!$C$7,$B195&lt;Targets!$C$8+1),"Yes","No"))</f>
        <v/>
      </c>
      <c r="K195" s="65" t="str">
        <f aca="false">IF($J195="Yes",$I195,"")</f>
        <v/>
      </c>
      <c r="L195" s="66" t="str">
        <f aca="false">IF($G195="","",IFERROR(INDEX($O$6:$O$25,MATCH($G195,$N$6:$N$25,0)),"Unknown dept"))</f>
        <v/>
      </c>
    </row>
    <row r="196" customFormat="false" ht="15" hidden="false" customHeight="true" outlineLevel="0" collapsed="false">
      <c r="A196" s="63"/>
      <c r="B196" s="64"/>
      <c r="C196" s="64"/>
      <c r="D196" s="63"/>
      <c r="E196" s="63"/>
      <c r="F196" s="63"/>
      <c r="G196" s="63"/>
      <c r="H196" s="63"/>
      <c r="I196" s="65" t="str">
        <f aca="false">IF(OR($B196="",$C196=""),"",$C196-$B196)</f>
        <v/>
      </c>
      <c r="J196" s="66" t="str">
        <f aca="false">IF($B196="","",IF(AND($B196&gt;=Targets!$C$7,$B196&lt;Targets!$C$8+1),"Yes","No"))</f>
        <v/>
      </c>
      <c r="K196" s="65" t="str">
        <f aca="false">IF($J196="Yes",$I196,"")</f>
        <v/>
      </c>
      <c r="L196" s="66" t="str">
        <f aca="false">IF($G196="","",IFERROR(INDEX($O$6:$O$25,MATCH($G196,$N$6:$N$25,0)),"Unknown dept"))</f>
        <v/>
      </c>
    </row>
    <row r="197" customFormat="false" ht="15" hidden="false" customHeight="true" outlineLevel="0" collapsed="false">
      <c r="A197" s="67"/>
      <c r="B197" s="68"/>
      <c r="C197" s="68"/>
      <c r="D197" s="67"/>
      <c r="E197" s="67"/>
      <c r="F197" s="67"/>
      <c r="G197" s="67"/>
      <c r="H197" s="67"/>
      <c r="I197" s="65" t="str">
        <f aca="false">IF(OR($B197="",$C197=""),"",$C197-$B197)</f>
        <v/>
      </c>
      <c r="J197" s="66" t="str">
        <f aca="false">IF($B197="","",IF(AND($B197&gt;=Targets!$C$7,$B197&lt;Targets!$C$8+1),"Yes","No"))</f>
        <v/>
      </c>
      <c r="K197" s="65" t="str">
        <f aca="false">IF($J197="Yes",$I197,"")</f>
        <v/>
      </c>
      <c r="L197" s="66" t="str">
        <f aca="false">IF($G197="","",IFERROR(INDEX($O$6:$O$25,MATCH($G197,$N$6:$N$25,0)),"Unknown dept"))</f>
        <v/>
      </c>
    </row>
    <row r="198" customFormat="false" ht="15" hidden="false" customHeight="true" outlineLevel="0" collapsed="false">
      <c r="A198" s="63"/>
      <c r="B198" s="64"/>
      <c r="C198" s="64"/>
      <c r="D198" s="63"/>
      <c r="E198" s="63"/>
      <c r="F198" s="63"/>
      <c r="G198" s="63"/>
      <c r="H198" s="63"/>
      <c r="I198" s="65" t="str">
        <f aca="false">IF(OR($B198="",$C198=""),"",$C198-$B198)</f>
        <v/>
      </c>
      <c r="J198" s="66" t="str">
        <f aca="false">IF($B198="","",IF(AND($B198&gt;=Targets!$C$7,$B198&lt;Targets!$C$8+1),"Yes","No"))</f>
        <v/>
      </c>
      <c r="K198" s="65" t="str">
        <f aca="false">IF($J198="Yes",$I198,"")</f>
        <v/>
      </c>
      <c r="L198" s="66" t="str">
        <f aca="false">IF($G198="","",IFERROR(INDEX($O$6:$O$25,MATCH($G198,$N$6:$N$25,0)),"Unknown dept"))</f>
        <v/>
      </c>
    </row>
    <row r="199" customFormat="false" ht="15" hidden="false" customHeight="true" outlineLevel="0" collapsed="false">
      <c r="A199" s="67"/>
      <c r="B199" s="68"/>
      <c r="C199" s="68"/>
      <c r="D199" s="67"/>
      <c r="E199" s="67"/>
      <c r="F199" s="67"/>
      <c r="G199" s="67"/>
      <c r="H199" s="67"/>
      <c r="I199" s="65" t="str">
        <f aca="false">IF(OR($B199="",$C199=""),"",$C199-$B199)</f>
        <v/>
      </c>
      <c r="J199" s="66" t="str">
        <f aca="false">IF($B199="","",IF(AND($B199&gt;=Targets!$C$7,$B199&lt;Targets!$C$8+1),"Yes","No"))</f>
        <v/>
      </c>
      <c r="K199" s="65" t="str">
        <f aca="false">IF($J199="Yes",$I199,"")</f>
        <v/>
      </c>
      <c r="L199" s="66" t="str">
        <f aca="false">IF($G199="","",IFERROR(INDEX($O$6:$O$25,MATCH($G199,$N$6:$N$25,0)),"Unknown dept"))</f>
        <v/>
      </c>
    </row>
    <row r="200" customFormat="false" ht="15" hidden="false" customHeight="true" outlineLevel="0" collapsed="false">
      <c r="A200" s="63"/>
      <c r="B200" s="64"/>
      <c r="C200" s="64"/>
      <c r="D200" s="63"/>
      <c r="E200" s="63"/>
      <c r="F200" s="63"/>
      <c r="G200" s="63"/>
      <c r="H200" s="63"/>
      <c r="I200" s="65" t="str">
        <f aca="false">IF(OR($B200="",$C200=""),"",$C200-$B200)</f>
        <v/>
      </c>
      <c r="J200" s="66" t="str">
        <f aca="false">IF($B200="","",IF(AND($B200&gt;=Targets!$C$7,$B200&lt;Targets!$C$8+1),"Yes","No"))</f>
        <v/>
      </c>
      <c r="K200" s="65" t="str">
        <f aca="false">IF($J200="Yes",$I200,"")</f>
        <v/>
      </c>
      <c r="L200" s="66" t="str">
        <f aca="false">IF($G200="","",IFERROR(INDEX($O$6:$O$25,MATCH($G200,$N$6:$N$25,0)),"Unknown dept"))</f>
        <v/>
      </c>
    </row>
    <row r="201" customFormat="false" ht="15" hidden="false" customHeight="true" outlineLevel="0" collapsed="false">
      <c r="A201" s="67"/>
      <c r="B201" s="68"/>
      <c r="C201" s="68"/>
      <c r="D201" s="67"/>
      <c r="E201" s="67"/>
      <c r="F201" s="67"/>
      <c r="G201" s="67"/>
      <c r="H201" s="67"/>
      <c r="I201" s="65" t="str">
        <f aca="false">IF(OR($B201="",$C201=""),"",$C201-$B201)</f>
        <v/>
      </c>
      <c r="J201" s="66" t="str">
        <f aca="false">IF($B201="","",IF(AND($B201&gt;=Targets!$C$7,$B201&lt;Targets!$C$8+1),"Yes","No"))</f>
        <v/>
      </c>
      <c r="K201" s="65" t="str">
        <f aca="false">IF($J201="Yes",$I201,"")</f>
        <v/>
      </c>
      <c r="L201" s="66" t="str">
        <f aca="false">IF($G201="","",IFERROR(INDEX($O$6:$O$25,MATCH($G201,$N$6:$N$25,0)),"Unknown dept"))</f>
        <v/>
      </c>
    </row>
    <row r="202" customFormat="false" ht="15" hidden="false" customHeight="true" outlineLevel="0" collapsed="false">
      <c r="A202" s="63"/>
      <c r="B202" s="64"/>
      <c r="C202" s="64"/>
      <c r="D202" s="63"/>
      <c r="E202" s="63"/>
      <c r="F202" s="63"/>
      <c r="G202" s="63"/>
      <c r="H202" s="63"/>
      <c r="I202" s="65" t="str">
        <f aca="false">IF(OR($B202="",$C202=""),"",$C202-$B202)</f>
        <v/>
      </c>
      <c r="J202" s="66" t="str">
        <f aca="false">IF($B202="","",IF(AND($B202&gt;=Targets!$C$7,$B202&lt;Targets!$C$8+1),"Yes","No"))</f>
        <v/>
      </c>
      <c r="K202" s="65" t="str">
        <f aca="false">IF($J202="Yes",$I202,"")</f>
        <v/>
      </c>
      <c r="L202" s="66" t="str">
        <f aca="false">IF($G202="","",IFERROR(INDEX($O$6:$O$25,MATCH($G202,$N$6:$N$25,0)),"Unknown dept"))</f>
        <v/>
      </c>
    </row>
    <row r="203" customFormat="false" ht="15" hidden="false" customHeight="true" outlineLevel="0" collapsed="false">
      <c r="A203" s="67"/>
      <c r="B203" s="68"/>
      <c r="C203" s="68"/>
      <c r="D203" s="67"/>
      <c r="E203" s="67"/>
      <c r="F203" s="67"/>
      <c r="G203" s="67"/>
      <c r="H203" s="67"/>
      <c r="I203" s="65" t="str">
        <f aca="false">IF(OR($B203="",$C203=""),"",$C203-$B203)</f>
        <v/>
      </c>
      <c r="J203" s="66" t="str">
        <f aca="false">IF($B203="","",IF(AND($B203&gt;=Targets!$C$7,$B203&lt;Targets!$C$8+1),"Yes","No"))</f>
        <v/>
      </c>
      <c r="K203" s="65" t="str">
        <f aca="false">IF($J203="Yes",$I203,"")</f>
        <v/>
      </c>
      <c r="L203" s="66" t="str">
        <f aca="false">IF($G203="","",IFERROR(INDEX($O$6:$O$25,MATCH($G203,$N$6:$N$25,0)),"Unknown dept"))</f>
        <v/>
      </c>
    </row>
    <row r="204" customFormat="false" ht="15" hidden="false" customHeight="true" outlineLevel="0" collapsed="false">
      <c r="A204" s="63"/>
      <c r="B204" s="64"/>
      <c r="C204" s="64"/>
      <c r="D204" s="63"/>
      <c r="E204" s="63"/>
      <c r="F204" s="63"/>
      <c r="G204" s="63"/>
      <c r="H204" s="63"/>
      <c r="I204" s="65" t="str">
        <f aca="false">IF(OR($B204="",$C204=""),"",$C204-$B204)</f>
        <v/>
      </c>
      <c r="J204" s="66" t="str">
        <f aca="false">IF($B204="","",IF(AND($B204&gt;=Targets!$C$7,$B204&lt;Targets!$C$8+1),"Yes","No"))</f>
        <v/>
      </c>
      <c r="K204" s="65" t="str">
        <f aca="false">IF($J204="Yes",$I204,"")</f>
        <v/>
      </c>
      <c r="L204" s="66" t="str">
        <f aca="false">IF($G204="","",IFERROR(INDEX($O$6:$O$25,MATCH($G204,$N$6:$N$25,0)),"Unknown dept"))</f>
        <v/>
      </c>
    </row>
    <row r="205" customFormat="false" ht="15" hidden="false" customHeight="true" outlineLevel="0" collapsed="false">
      <c r="A205" s="67"/>
      <c r="B205" s="68"/>
      <c r="C205" s="68"/>
      <c r="D205" s="67"/>
      <c r="E205" s="67"/>
      <c r="F205" s="67"/>
      <c r="G205" s="67"/>
      <c r="H205" s="67"/>
      <c r="I205" s="65" t="str">
        <f aca="false">IF(OR($B205="",$C205=""),"",$C205-$B205)</f>
        <v/>
      </c>
      <c r="J205" s="66" t="str">
        <f aca="false">IF($B205="","",IF(AND($B205&gt;=Targets!$C$7,$B205&lt;Targets!$C$8+1),"Yes","No"))</f>
        <v/>
      </c>
      <c r="K205" s="65" t="str">
        <f aca="false">IF($J205="Yes",$I205,"")</f>
        <v/>
      </c>
      <c r="L205" s="66" t="str">
        <f aca="false">IF($G205="","",IFERROR(INDEX($O$6:$O$25,MATCH($G205,$N$6:$N$25,0)),"Unknown dept"))</f>
        <v/>
      </c>
    </row>
    <row r="206" customFormat="false" ht="15" hidden="false" customHeight="true" outlineLevel="0" collapsed="false">
      <c r="A206" s="63"/>
      <c r="B206" s="64"/>
      <c r="C206" s="64"/>
      <c r="D206" s="63"/>
      <c r="E206" s="63"/>
      <c r="F206" s="63"/>
      <c r="G206" s="63"/>
      <c r="H206" s="63"/>
      <c r="I206" s="65" t="str">
        <f aca="false">IF(OR($B206="",$C206=""),"",$C206-$B206)</f>
        <v/>
      </c>
      <c r="J206" s="66" t="str">
        <f aca="false">IF($B206="","",IF(AND($B206&gt;=Targets!$C$7,$B206&lt;Targets!$C$8+1),"Yes","No"))</f>
        <v/>
      </c>
      <c r="K206" s="65" t="str">
        <f aca="false">IF($J206="Yes",$I206,"")</f>
        <v/>
      </c>
      <c r="L206" s="66" t="str">
        <f aca="false">IF($G206="","",IFERROR(INDEX($O$6:$O$25,MATCH($G206,$N$6:$N$25,0)),"Unknown dept"))</f>
        <v/>
      </c>
    </row>
    <row r="207" customFormat="false" ht="15" hidden="false" customHeight="true" outlineLevel="0" collapsed="false">
      <c r="A207" s="67"/>
      <c r="B207" s="68"/>
      <c r="C207" s="68"/>
      <c r="D207" s="67"/>
      <c r="E207" s="67"/>
      <c r="F207" s="67"/>
      <c r="G207" s="67"/>
      <c r="H207" s="67"/>
      <c r="I207" s="65" t="str">
        <f aca="false">IF(OR($B207="",$C207=""),"",$C207-$B207)</f>
        <v/>
      </c>
      <c r="J207" s="66" t="str">
        <f aca="false">IF($B207="","",IF(AND($B207&gt;=Targets!$C$7,$B207&lt;Targets!$C$8+1),"Yes","No"))</f>
        <v/>
      </c>
      <c r="K207" s="65" t="str">
        <f aca="false">IF($J207="Yes",$I207,"")</f>
        <v/>
      </c>
      <c r="L207" s="66" t="str">
        <f aca="false">IF($G207="","",IFERROR(INDEX($O$6:$O$25,MATCH($G207,$N$6:$N$25,0)),"Unknown dept"))</f>
        <v/>
      </c>
    </row>
    <row r="208" customFormat="false" ht="15" hidden="false" customHeight="true" outlineLevel="0" collapsed="false">
      <c r="A208" s="63"/>
      <c r="B208" s="64"/>
      <c r="C208" s="64"/>
      <c r="D208" s="63"/>
      <c r="E208" s="63"/>
      <c r="F208" s="63"/>
      <c r="G208" s="63"/>
      <c r="H208" s="63"/>
      <c r="I208" s="65" t="str">
        <f aca="false">IF(OR($B208="",$C208=""),"",$C208-$B208)</f>
        <v/>
      </c>
      <c r="J208" s="66" t="str">
        <f aca="false">IF($B208="","",IF(AND($B208&gt;=Targets!$C$7,$B208&lt;Targets!$C$8+1),"Yes","No"))</f>
        <v/>
      </c>
      <c r="K208" s="65" t="str">
        <f aca="false">IF($J208="Yes",$I208,"")</f>
        <v/>
      </c>
      <c r="L208" s="66" t="str">
        <f aca="false">IF($G208="","",IFERROR(INDEX($O$6:$O$25,MATCH($G208,$N$6:$N$25,0)),"Unknown dept"))</f>
        <v/>
      </c>
    </row>
    <row r="209" customFormat="false" ht="15" hidden="false" customHeight="true" outlineLevel="0" collapsed="false">
      <c r="A209" s="67"/>
      <c r="B209" s="68"/>
      <c r="C209" s="68"/>
      <c r="D209" s="67"/>
      <c r="E209" s="67"/>
      <c r="F209" s="67"/>
      <c r="G209" s="67"/>
      <c r="H209" s="67"/>
      <c r="I209" s="65" t="str">
        <f aca="false">IF(OR($B209="",$C209=""),"",$C209-$B209)</f>
        <v/>
      </c>
      <c r="J209" s="66" t="str">
        <f aca="false">IF($B209="","",IF(AND($B209&gt;=Targets!$C$7,$B209&lt;Targets!$C$8+1),"Yes","No"))</f>
        <v/>
      </c>
      <c r="K209" s="65" t="str">
        <f aca="false">IF($J209="Yes",$I209,"")</f>
        <v/>
      </c>
      <c r="L209" s="66" t="str">
        <f aca="false">IF($G209="","",IFERROR(INDEX($O$6:$O$25,MATCH($G209,$N$6:$N$25,0)),"Unknown dept"))</f>
        <v/>
      </c>
    </row>
    <row r="210" customFormat="false" ht="15" hidden="false" customHeight="true" outlineLevel="0" collapsed="false">
      <c r="A210" s="63"/>
      <c r="B210" s="64"/>
      <c r="C210" s="64"/>
      <c r="D210" s="63"/>
      <c r="E210" s="63"/>
      <c r="F210" s="63"/>
      <c r="G210" s="63"/>
      <c r="H210" s="63"/>
      <c r="I210" s="65" t="str">
        <f aca="false">IF(OR($B210="",$C210=""),"",$C210-$B210)</f>
        <v/>
      </c>
      <c r="J210" s="66" t="str">
        <f aca="false">IF($B210="","",IF(AND($B210&gt;=Targets!$C$7,$B210&lt;Targets!$C$8+1),"Yes","No"))</f>
        <v/>
      </c>
      <c r="K210" s="65" t="str">
        <f aca="false">IF($J210="Yes",$I210,"")</f>
        <v/>
      </c>
      <c r="L210" s="66" t="str">
        <f aca="false">IF($G210="","",IFERROR(INDEX($O$6:$O$25,MATCH($G210,$N$6:$N$25,0)),"Unknown dept"))</f>
        <v/>
      </c>
    </row>
    <row r="211" customFormat="false" ht="15" hidden="false" customHeight="true" outlineLevel="0" collapsed="false">
      <c r="A211" s="67"/>
      <c r="B211" s="68"/>
      <c r="C211" s="68"/>
      <c r="D211" s="67"/>
      <c r="E211" s="67"/>
      <c r="F211" s="67"/>
      <c r="G211" s="67"/>
      <c r="H211" s="67"/>
      <c r="I211" s="65" t="str">
        <f aca="false">IF(OR($B211="",$C211=""),"",$C211-$B211)</f>
        <v/>
      </c>
      <c r="J211" s="66" t="str">
        <f aca="false">IF($B211="","",IF(AND($B211&gt;=Targets!$C$7,$B211&lt;Targets!$C$8+1),"Yes","No"))</f>
        <v/>
      </c>
      <c r="K211" s="65" t="str">
        <f aca="false">IF($J211="Yes",$I211,"")</f>
        <v/>
      </c>
      <c r="L211" s="66" t="str">
        <f aca="false">IF($G211="","",IFERROR(INDEX($O$6:$O$25,MATCH($G211,$N$6:$N$25,0)),"Unknown dept"))</f>
        <v/>
      </c>
    </row>
    <row r="212" customFormat="false" ht="15" hidden="false" customHeight="true" outlineLevel="0" collapsed="false">
      <c r="A212" s="63"/>
      <c r="B212" s="64"/>
      <c r="C212" s="64"/>
      <c r="D212" s="63"/>
      <c r="E212" s="63"/>
      <c r="F212" s="63"/>
      <c r="G212" s="63"/>
      <c r="H212" s="63"/>
      <c r="I212" s="65" t="str">
        <f aca="false">IF(OR($B212="",$C212=""),"",$C212-$B212)</f>
        <v/>
      </c>
      <c r="J212" s="66" t="str">
        <f aca="false">IF($B212="","",IF(AND($B212&gt;=Targets!$C$7,$B212&lt;Targets!$C$8+1),"Yes","No"))</f>
        <v/>
      </c>
      <c r="K212" s="65" t="str">
        <f aca="false">IF($J212="Yes",$I212,"")</f>
        <v/>
      </c>
      <c r="L212" s="66" t="str">
        <f aca="false">IF($G212="","",IFERROR(INDEX($O$6:$O$25,MATCH($G212,$N$6:$N$25,0)),"Unknown dept"))</f>
        <v/>
      </c>
    </row>
    <row r="213" customFormat="false" ht="15" hidden="false" customHeight="true" outlineLevel="0" collapsed="false">
      <c r="A213" s="67"/>
      <c r="B213" s="68"/>
      <c r="C213" s="68"/>
      <c r="D213" s="67"/>
      <c r="E213" s="67"/>
      <c r="F213" s="67"/>
      <c r="G213" s="67"/>
      <c r="H213" s="67"/>
      <c r="I213" s="65" t="str">
        <f aca="false">IF(OR($B213="",$C213=""),"",$C213-$B213)</f>
        <v/>
      </c>
      <c r="J213" s="66" t="str">
        <f aca="false">IF($B213="","",IF(AND($B213&gt;=Targets!$C$7,$B213&lt;Targets!$C$8+1),"Yes","No"))</f>
        <v/>
      </c>
      <c r="K213" s="65" t="str">
        <f aca="false">IF($J213="Yes",$I213,"")</f>
        <v/>
      </c>
      <c r="L213" s="66" t="str">
        <f aca="false">IF($G213="","",IFERROR(INDEX($O$6:$O$25,MATCH($G213,$N$6:$N$25,0)),"Unknown dept"))</f>
        <v/>
      </c>
    </row>
    <row r="214" customFormat="false" ht="15" hidden="false" customHeight="true" outlineLevel="0" collapsed="false">
      <c r="A214" s="63"/>
      <c r="B214" s="64"/>
      <c r="C214" s="64"/>
      <c r="D214" s="63"/>
      <c r="E214" s="63"/>
      <c r="F214" s="63"/>
      <c r="G214" s="63"/>
      <c r="H214" s="63"/>
      <c r="I214" s="65" t="str">
        <f aca="false">IF(OR($B214="",$C214=""),"",$C214-$B214)</f>
        <v/>
      </c>
      <c r="J214" s="66" t="str">
        <f aca="false">IF($B214="","",IF(AND($B214&gt;=Targets!$C$7,$B214&lt;Targets!$C$8+1),"Yes","No"))</f>
        <v/>
      </c>
      <c r="K214" s="65" t="str">
        <f aca="false">IF($J214="Yes",$I214,"")</f>
        <v/>
      </c>
      <c r="L214" s="66" t="str">
        <f aca="false">IF($G214="","",IFERROR(INDEX($O$6:$O$25,MATCH($G214,$N$6:$N$25,0)),"Unknown dept"))</f>
        <v/>
      </c>
    </row>
    <row r="215" customFormat="false" ht="15" hidden="false" customHeight="true" outlineLevel="0" collapsed="false">
      <c r="A215" s="67"/>
      <c r="B215" s="68"/>
      <c r="C215" s="68"/>
      <c r="D215" s="67"/>
      <c r="E215" s="67"/>
      <c r="F215" s="67"/>
      <c r="G215" s="67"/>
      <c r="H215" s="67"/>
      <c r="I215" s="65" t="str">
        <f aca="false">IF(OR($B215="",$C215=""),"",$C215-$B215)</f>
        <v/>
      </c>
      <c r="J215" s="66" t="str">
        <f aca="false">IF($B215="","",IF(AND($B215&gt;=Targets!$C$7,$B215&lt;Targets!$C$8+1),"Yes","No"))</f>
        <v/>
      </c>
      <c r="K215" s="65" t="str">
        <f aca="false">IF($J215="Yes",$I215,"")</f>
        <v/>
      </c>
      <c r="L215" s="66" t="str">
        <f aca="false">IF($G215="","",IFERROR(INDEX($O$6:$O$25,MATCH($G215,$N$6:$N$25,0)),"Unknown dept"))</f>
        <v/>
      </c>
    </row>
    <row r="216" customFormat="false" ht="15" hidden="false" customHeight="true" outlineLevel="0" collapsed="false">
      <c r="A216" s="63"/>
      <c r="B216" s="64"/>
      <c r="C216" s="64"/>
      <c r="D216" s="63"/>
      <c r="E216" s="63"/>
      <c r="F216" s="63"/>
      <c r="G216" s="63"/>
      <c r="H216" s="63"/>
      <c r="I216" s="65" t="str">
        <f aca="false">IF(OR($B216="",$C216=""),"",$C216-$B216)</f>
        <v/>
      </c>
      <c r="J216" s="66" t="str">
        <f aca="false">IF($B216="","",IF(AND($B216&gt;=Targets!$C$7,$B216&lt;Targets!$C$8+1),"Yes","No"))</f>
        <v/>
      </c>
      <c r="K216" s="65" t="str">
        <f aca="false">IF($J216="Yes",$I216,"")</f>
        <v/>
      </c>
      <c r="L216" s="66" t="str">
        <f aca="false">IF($G216="","",IFERROR(INDEX($O$6:$O$25,MATCH($G216,$N$6:$N$25,0)),"Unknown dept"))</f>
        <v/>
      </c>
    </row>
    <row r="217" customFormat="false" ht="15" hidden="false" customHeight="true" outlineLevel="0" collapsed="false">
      <c r="A217" s="67"/>
      <c r="B217" s="68"/>
      <c r="C217" s="68"/>
      <c r="D217" s="67"/>
      <c r="E217" s="67"/>
      <c r="F217" s="67"/>
      <c r="G217" s="67"/>
      <c r="H217" s="67"/>
      <c r="I217" s="65" t="str">
        <f aca="false">IF(OR($B217="",$C217=""),"",$C217-$B217)</f>
        <v/>
      </c>
      <c r="J217" s="66" t="str">
        <f aca="false">IF($B217="","",IF(AND($B217&gt;=Targets!$C$7,$B217&lt;Targets!$C$8+1),"Yes","No"))</f>
        <v/>
      </c>
      <c r="K217" s="65" t="str">
        <f aca="false">IF($J217="Yes",$I217,"")</f>
        <v/>
      </c>
      <c r="L217" s="66" t="str">
        <f aca="false">IF($G217="","",IFERROR(INDEX($O$6:$O$25,MATCH($G217,$N$6:$N$25,0)),"Unknown dept"))</f>
        <v/>
      </c>
    </row>
    <row r="218" customFormat="false" ht="15" hidden="false" customHeight="true" outlineLevel="0" collapsed="false">
      <c r="A218" s="63"/>
      <c r="B218" s="64"/>
      <c r="C218" s="64"/>
      <c r="D218" s="63"/>
      <c r="E218" s="63"/>
      <c r="F218" s="63"/>
      <c r="G218" s="63"/>
      <c r="H218" s="63"/>
      <c r="I218" s="65" t="str">
        <f aca="false">IF(OR($B218="",$C218=""),"",$C218-$B218)</f>
        <v/>
      </c>
      <c r="J218" s="66" t="str">
        <f aca="false">IF($B218="","",IF(AND($B218&gt;=Targets!$C$7,$B218&lt;Targets!$C$8+1),"Yes","No"))</f>
        <v/>
      </c>
      <c r="K218" s="65" t="str">
        <f aca="false">IF($J218="Yes",$I218,"")</f>
        <v/>
      </c>
      <c r="L218" s="66" t="str">
        <f aca="false">IF($G218="","",IFERROR(INDEX($O$6:$O$25,MATCH($G218,$N$6:$N$25,0)),"Unknown dept"))</f>
        <v/>
      </c>
    </row>
    <row r="219" customFormat="false" ht="15" hidden="false" customHeight="true" outlineLevel="0" collapsed="false">
      <c r="A219" s="67"/>
      <c r="B219" s="68"/>
      <c r="C219" s="68"/>
      <c r="D219" s="67"/>
      <c r="E219" s="67"/>
      <c r="F219" s="67"/>
      <c r="G219" s="67"/>
      <c r="H219" s="67"/>
      <c r="I219" s="65" t="str">
        <f aca="false">IF(OR($B219="",$C219=""),"",$C219-$B219)</f>
        <v/>
      </c>
      <c r="J219" s="66" t="str">
        <f aca="false">IF($B219="","",IF(AND($B219&gt;=Targets!$C$7,$B219&lt;Targets!$C$8+1),"Yes","No"))</f>
        <v/>
      </c>
      <c r="K219" s="65" t="str">
        <f aca="false">IF($J219="Yes",$I219,"")</f>
        <v/>
      </c>
      <c r="L219" s="66" t="str">
        <f aca="false">IF($G219="","",IFERROR(INDEX($O$6:$O$25,MATCH($G219,$N$6:$N$25,0)),"Unknown dept"))</f>
        <v/>
      </c>
    </row>
    <row r="220" customFormat="false" ht="15" hidden="false" customHeight="true" outlineLevel="0" collapsed="false">
      <c r="A220" s="63"/>
      <c r="B220" s="64"/>
      <c r="C220" s="64"/>
      <c r="D220" s="63"/>
      <c r="E220" s="63"/>
      <c r="F220" s="63"/>
      <c r="G220" s="63"/>
      <c r="H220" s="63"/>
      <c r="I220" s="65" t="str">
        <f aca="false">IF(OR($B220="",$C220=""),"",$C220-$B220)</f>
        <v/>
      </c>
      <c r="J220" s="66" t="str">
        <f aca="false">IF($B220="","",IF(AND($B220&gt;=Targets!$C$7,$B220&lt;Targets!$C$8+1),"Yes","No"))</f>
        <v/>
      </c>
      <c r="K220" s="65" t="str">
        <f aca="false">IF($J220="Yes",$I220,"")</f>
        <v/>
      </c>
      <c r="L220" s="66" t="str">
        <f aca="false">IF($G220="","",IFERROR(INDEX($O$6:$O$25,MATCH($G220,$N$6:$N$25,0)),"Unknown dept"))</f>
        <v/>
      </c>
    </row>
    <row r="221" customFormat="false" ht="15" hidden="false" customHeight="true" outlineLevel="0" collapsed="false">
      <c r="A221" s="67"/>
      <c r="B221" s="68"/>
      <c r="C221" s="68"/>
      <c r="D221" s="67"/>
      <c r="E221" s="67"/>
      <c r="F221" s="67"/>
      <c r="G221" s="67"/>
      <c r="H221" s="67"/>
      <c r="I221" s="65" t="str">
        <f aca="false">IF(OR($B221="",$C221=""),"",$C221-$B221)</f>
        <v/>
      </c>
      <c r="J221" s="66" t="str">
        <f aca="false">IF($B221="","",IF(AND($B221&gt;=Targets!$C$7,$B221&lt;Targets!$C$8+1),"Yes","No"))</f>
        <v/>
      </c>
      <c r="K221" s="65" t="str">
        <f aca="false">IF($J221="Yes",$I221,"")</f>
        <v/>
      </c>
      <c r="L221" s="66" t="str">
        <f aca="false">IF($G221="","",IFERROR(INDEX($O$6:$O$25,MATCH($G221,$N$6:$N$25,0)),"Unknown dept"))</f>
        <v/>
      </c>
    </row>
    <row r="222" customFormat="false" ht="15" hidden="false" customHeight="true" outlineLevel="0" collapsed="false">
      <c r="A222" s="63"/>
      <c r="B222" s="64"/>
      <c r="C222" s="64"/>
      <c r="D222" s="63"/>
      <c r="E222" s="63"/>
      <c r="F222" s="63"/>
      <c r="G222" s="63"/>
      <c r="H222" s="63"/>
      <c r="I222" s="65" t="str">
        <f aca="false">IF(OR($B222="",$C222=""),"",$C222-$B222)</f>
        <v/>
      </c>
      <c r="J222" s="66" t="str">
        <f aca="false">IF($B222="","",IF(AND($B222&gt;=Targets!$C$7,$B222&lt;Targets!$C$8+1),"Yes","No"))</f>
        <v/>
      </c>
      <c r="K222" s="65" t="str">
        <f aca="false">IF($J222="Yes",$I222,"")</f>
        <v/>
      </c>
      <c r="L222" s="66" t="str">
        <f aca="false">IF($G222="","",IFERROR(INDEX($O$6:$O$25,MATCH($G222,$N$6:$N$25,0)),"Unknown dept"))</f>
        <v/>
      </c>
    </row>
    <row r="223" customFormat="false" ht="15" hidden="false" customHeight="true" outlineLevel="0" collapsed="false">
      <c r="A223" s="67"/>
      <c r="B223" s="68"/>
      <c r="C223" s="68"/>
      <c r="D223" s="67"/>
      <c r="E223" s="67"/>
      <c r="F223" s="67"/>
      <c r="G223" s="67"/>
      <c r="H223" s="67"/>
      <c r="I223" s="65" t="str">
        <f aca="false">IF(OR($B223="",$C223=""),"",$C223-$B223)</f>
        <v/>
      </c>
      <c r="J223" s="66" t="str">
        <f aca="false">IF($B223="","",IF(AND($B223&gt;=Targets!$C$7,$B223&lt;Targets!$C$8+1),"Yes","No"))</f>
        <v/>
      </c>
      <c r="K223" s="65" t="str">
        <f aca="false">IF($J223="Yes",$I223,"")</f>
        <v/>
      </c>
      <c r="L223" s="66" t="str">
        <f aca="false">IF($G223="","",IFERROR(INDEX($O$6:$O$25,MATCH($G223,$N$6:$N$25,0)),"Unknown dept"))</f>
        <v/>
      </c>
    </row>
    <row r="224" customFormat="false" ht="15" hidden="false" customHeight="true" outlineLevel="0" collapsed="false">
      <c r="A224" s="63"/>
      <c r="B224" s="64"/>
      <c r="C224" s="64"/>
      <c r="D224" s="63"/>
      <c r="E224" s="63"/>
      <c r="F224" s="63"/>
      <c r="G224" s="63"/>
      <c r="H224" s="63"/>
      <c r="I224" s="65" t="str">
        <f aca="false">IF(OR($B224="",$C224=""),"",$C224-$B224)</f>
        <v/>
      </c>
      <c r="J224" s="66" t="str">
        <f aca="false">IF($B224="","",IF(AND($B224&gt;=Targets!$C$7,$B224&lt;Targets!$C$8+1),"Yes","No"))</f>
        <v/>
      </c>
      <c r="K224" s="65" t="str">
        <f aca="false">IF($J224="Yes",$I224,"")</f>
        <v/>
      </c>
      <c r="L224" s="66" t="str">
        <f aca="false">IF($G224="","",IFERROR(INDEX($O$6:$O$25,MATCH($G224,$N$6:$N$25,0)),"Unknown dept"))</f>
        <v/>
      </c>
    </row>
    <row r="225" customFormat="false" ht="15" hidden="false" customHeight="true" outlineLevel="0" collapsed="false">
      <c r="A225" s="67"/>
      <c r="B225" s="68"/>
      <c r="C225" s="68"/>
      <c r="D225" s="67"/>
      <c r="E225" s="67"/>
      <c r="F225" s="67"/>
      <c r="G225" s="67"/>
      <c r="H225" s="67"/>
      <c r="I225" s="65" t="str">
        <f aca="false">IF(OR($B225="",$C225=""),"",$C225-$B225)</f>
        <v/>
      </c>
      <c r="J225" s="66" t="str">
        <f aca="false">IF($B225="","",IF(AND($B225&gt;=Targets!$C$7,$B225&lt;Targets!$C$8+1),"Yes","No"))</f>
        <v/>
      </c>
      <c r="K225" s="65" t="str">
        <f aca="false">IF($J225="Yes",$I225,"")</f>
        <v/>
      </c>
      <c r="L225" s="66" t="str">
        <f aca="false">IF($G225="","",IFERROR(INDEX($O$6:$O$25,MATCH($G225,$N$6:$N$25,0)),"Unknown dept"))</f>
        <v/>
      </c>
    </row>
    <row r="226" customFormat="false" ht="15" hidden="false" customHeight="true" outlineLevel="0" collapsed="false">
      <c r="A226" s="63"/>
      <c r="B226" s="64"/>
      <c r="C226" s="64"/>
      <c r="D226" s="63"/>
      <c r="E226" s="63"/>
      <c r="F226" s="63"/>
      <c r="G226" s="63"/>
      <c r="H226" s="63"/>
      <c r="I226" s="65" t="str">
        <f aca="false">IF(OR($B226="",$C226=""),"",$C226-$B226)</f>
        <v/>
      </c>
      <c r="J226" s="66" t="str">
        <f aca="false">IF($B226="","",IF(AND($B226&gt;=Targets!$C$7,$B226&lt;Targets!$C$8+1),"Yes","No"))</f>
        <v/>
      </c>
      <c r="K226" s="65" t="str">
        <f aca="false">IF($J226="Yes",$I226,"")</f>
        <v/>
      </c>
      <c r="L226" s="66" t="str">
        <f aca="false">IF($G226="","",IFERROR(INDEX($O$6:$O$25,MATCH($G226,$N$6:$N$25,0)),"Unknown dept"))</f>
        <v/>
      </c>
    </row>
    <row r="227" customFormat="false" ht="15" hidden="false" customHeight="true" outlineLevel="0" collapsed="false">
      <c r="A227" s="67"/>
      <c r="B227" s="68"/>
      <c r="C227" s="68"/>
      <c r="D227" s="67"/>
      <c r="E227" s="67"/>
      <c r="F227" s="67"/>
      <c r="G227" s="67"/>
      <c r="H227" s="67"/>
      <c r="I227" s="65" t="str">
        <f aca="false">IF(OR($B227="",$C227=""),"",$C227-$B227)</f>
        <v/>
      </c>
      <c r="J227" s="66" t="str">
        <f aca="false">IF($B227="","",IF(AND($B227&gt;=Targets!$C$7,$B227&lt;Targets!$C$8+1),"Yes","No"))</f>
        <v/>
      </c>
      <c r="K227" s="65" t="str">
        <f aca="false">IF($J227="Yes",$I227,"")</f>
        <v/>
      </c>
      <c r="L227" s="66" t="str">
        <f aca="false">IF($G227="","",IFERROR(INDEX($O$6:$O$25,MATCH($G227,$N$6:$N$25,0)),"Unknown dept"))</f>
        <v/>
      </c>
    </row>
    <row r="228" customFormat="false" ht="15" hidden="false" customHeight="true" outlineLevel="0" collapsed="false">
      <c r="A228" s="63"/>
      <c r="B228" s="64"/>
      <c r="C228" s="64"/>
      <c r="D228" s="63"/>
      <c r="E228" s="63"/>
      <c r="F228" s="63"/>
      <c r="G228" s="63"/>
      <c r="H228" s="63"/>
      <c r="I228" s="65" t="str">
        <f aca="false">IF(OR($B228="",$C228=""),"",$C228-$B228)</f>
        <v/>
      </c>
      <c r="J228" s="66" t="str">
        <f aca="false">IF($B228="","",IF(AND($B228&gt;=Targets!$C$7,$B228&lt;Targets!$C$8+1),"Yes","No"))</f>
        <v/>
      </c>
      <c r="K228" s="65" t="str">
        <f aca="false">IF($J228="Yes",$I228,"")</f>
        <v/>
      </c>
      <c r="L228" s="66" t="str">
        <f aca="false">IF($G228="","",IFERROR(INDEX($O$6:$O$25,MATCH($G228,$N$6:$N$25,0)),"Unknown dept"))</f>
        <v/>
      </c>
    </row>
    <row r="229" customFormat="false" ht="15" hidden="false" customHeight="true" outlineLevel="0" collapsed="false">
      <c r="A229" s="67"/>
      <c r="B229" s="68"/>
      <c r="C229" s="68"/>
      <c r="D229" s="67"/>
      <c r="E229" s="67"/>
      <c r="F229" s="67"/>
      <c r="G229" s="67"/>
      <c r="H229" s="67"/>
      <c r="I229" s="65" t="str">
        <f aca="false">IF(OR($B229="",$C229=""),"",$C229-$B229)</f>
        <v/>
      </c>
      <c r="J229" s="66" t="str">
        <f aca="false">IF($B229="","",IF(AND($B229&gt;=Targets!$C$7,$B229&lt;Targets!$C$8+1),"Yes","No"))</f>
        <v/>
      </c>
      <c r="K229" s="65" t="str">
        <f aca="false">IF($J229="Yes",$I229,"")</f>
        <v/>
      </c>
      <c r="L229" s="66" t="str">
        <f aca="false">IF($G229="","",IFERROR(INDEX($O$6:$O$25,MATCH($G229,$N$6:$N$25,0)),"Unknown dept"))</f>
        <v/>
      </c>
    </row>
    <row r="230" customFormat="false" ht="15" hidden="false" customHeight="true" outlineLevel="0" collapsed="false">
      <c r="A230" s="63"/>
      <c r="B230" s="64"/>
      <c r="C230" s="64"/>
      <c r="D230" s="63"/>
      <c r="E230" s="63"/>
      <c r="F230" s="63"/>
      <c r="G230" s="63"/>
      <c r="H230" s="63"/>
      <c r="I230" s="65" t="str">
        <f aca="false">IF(OR($B230="",$C230=""),"",$C230-$B230)</f>
        <v/>
      </c>
      <c r="J230" s="66" t="str">
        <f aca="false">IF($B230="","",IF(AND($B230&gt;=Targets!$C$7,$B230&lt;Targets!$C$8+1),"Yes","No"))</f>
        <v/>
      </c>
      <c r="K230" s="65" t="str">
        <f aca="false">IF($J230="Yes",$I230,"")</f>
        <v/>
      </c>
      <c r="L230" s="66" t="str">
        <f aca="false">IF($G230="","",IFERROR(INDEX($O$6:$O$25,MATCH($G230,$N$6:$N$25,0)),"Unknown dept"))</f>
        <v/>
      </c>
    </row>
    <row r="231" customFormat="false" ht="15" hidden="false" customHeight="true" outlineLevel="0" collapsed="false">
      <c r="A231" s="67"/>
      <c r="B231" s="68"/>
      <c r="C231" s="68"/>
      <c r="D231" s="67"/>
      <c r="E231" s="67"/>
      <c r="F231" s="67"/>
      <c r="G231" s="67"/>
      <c r="H231" s="67"/>
      <c r="I231" s="65" t="str">
        <f aca="false">IF(OR($B231="",$C231=""),"",$C231-$B231)</f>
        <v/>
      </c>
      <c r="J231" s="66" t="str">
        <f aca="false">IF($B231="","",IF(AND($B231&gt;=Targets!$C$7,$B231&lt;Targets!$C$8+1),"Yes","No"))</f>
        <v/>
      </c>
      <c r="K231" s="65" t="str">
        <f aca="false">IF($J231="Yes",$I231,"")</f>
        <v/>
      </c>
      <c r="L231" s="66" t="str">
        <f aca="false">IF($G231="","",IFERROR(INDEX($O$6:$O$25,MATCH($G231,$N$6:$N$25,0)),"Unknown dept"))</f>
        <v/>
      </c>
    </row>
    <row r="232" customFormat="false" ht="15" hidden="false" customHeight="true" outlineLevel="0" collapsed="false">
      <c r="A232" s="63"/>
      <c r="B232" s="64"/>
      <c r="C232" s="64"/>
      <c r="D232" s="63"/>
      <c r="E232" s="63"/>
      <c r="F232" s="63"/>
      <c r="G232" s="63"/>
      <c r="H232" s="63"/>
      <c r="I232" s="65" t="str">
        <f aca="false">IF(OR($B232="",$C232=""),"",$C232-$B232)</f>
        <v/>
      </c>
      <c r="J232" s="66" t="str">
        <f aca="false">IF($B232="","",IF(AND($B232&gt;=Targets!$C$7,$B232&lt;Targets!$C$8+1),"Yes","No"))</f>
        <v/>
      </c>
      <c r="K232" s="65" t="str">
        <f aca="false">IF($J232="Yes",$I232,"")</f>
        <v/>
      </c>
      <c r="L232" s="66" t="str">
        <f aca="false">IF($G232="","",IFERROR(INDEX($O$6:$O$25,MATCH($G232,$N$6:$N$25,0)),"Unknown dept"))</f>
        <v/>
      </c>
    </row>
    <row r="233" customFormat="false" ht="15" hidden="false" customHeight="true" outlineLevel="0" collapsed="false">
      <c r="A233" s="67"/>
      <c r="B233" s="68"/>
      <c r="C233" s="68"/>
      <c r="D233" s="67"/>
      <c r="E233" s="67"/>
      <c r="F233" s="67"/>
      <c r="G233" s="67"/>
      <c r="H233" s="67"/>
      <c r="I233" s="65" t="str">
        <f aca="false">IF(OR($B233="",$C233=""),"",$C233-$B233)</f>
        <v/>
      </c>
      <c r="J233" s="66" t="str">
        <f aca="false">IF($B233="","",IF(AND($B233&gt;=Targets!$C$7,$B233&lt;Targets!$C$8+1),"Yes","No"))</f>
        <v/>
      </c>
      <c r="K233" s="65" t="str">
        <f aca="false">IF($J233="Yes",$I233,"")</f>
        <v/>
      </c>
      <c r="L233" s="66" t="str">
        <f aca="false">IF($G233="","",IFERROR(INDEX($O$6:$O$25,MATCH($G233,$N$6:$N$25,0)),"Unknown dept"))</f>
        <v/>
      </c>
    </row>
    <row r="234" customFormat="false" ht="15" hidden="false" customHeight="true" outlineLevel="0" collapsed="false">
      <c r="A234" s="63"/>
      <c r="B234" s="64"/>
      <c r="C234" s="64"/>
      <c r="D234" s="63"/>
      <c r="E234" s="63"/>
      <c r="F234" s="63"/>
      <c r="G234" s="63"/>
      <c r="H234" s="63"/>
      <c r="I234" s="65" t="str">
        <f aca="false">IF(OR($B234="",$C234=""),"",$C234-$B234)</f>
        <v/>
      </c>
      <c r="J234" s="66" t="str">
        <f aca="false">IF($B234="","",IF(AND($B234&gt;=Targets!$C$7,$B234&lt;Targets!$C$8+1),"Yes","No"))</f>
        <v/>
      </c>
      <c r="K234" s="65" t="str">
        <f aca="false">IF($J234="Yes",$I234,"")</f>
        <v/>
      </c>
      <c r="L234" s="66" t="str">
        <f aca="false">IF($G234="","",IFERROR(INDEX($O$6:$O$25,MATCH($G234,$N$6:$N$25,0)),"Unknown dept"))</f>
        <v/>
      </c>
    </row>
    <row r="235" customFormat="false" ht="15" hidden="false" customHeight="true" outlineLevel="0" collapsed="false">
      <c r="A235" s="67"/>
      <c r="B235" s="68"/>
      <c r="C235" s="68"/>
      <c r="D235" s="67"/>
      <c r="E235" s="67"/>
      <c r="F235" s="67"/>
      <c r="G235" s="67"/>
      <c r="H235" s="67"/>
      <c r="I235" s="65" t="str">
        <f aca="false">IF(OR($B235="",$C235=""),"",$C235-$B235)</f>
        <v/>
      </c>
      <c r="J235" s="66" t="str">
        <f aca="false">IF($B235="","",IF(AND($B235&gt;=Targets!$C$7,$B235&lt;Targets!$C$8+1),"Yes","No"))</f>
        <v/>
      </c>
      <c r="K235" s="65" t="str">
        <f aca="false">IF($J235="Yes",$I235,"")</f>
        <v/>
      </c>
      <c r="L235" s="66" t="str">
        <f aca="false">IF($G235="","",IFERROR(INDEX($O$6:$O$25,MATCH($G235,$N$6:$N$25,0)),"Unknown dept"))</f>
        <v/>
      </c>
    </row>
    <row r="236" customFormat="false" ht="15" hidden="false" customHeight="true" outlineLevel="0" collapsed="false">
      <c r="A236" s="63"/>
      <c r="B236" s="64"/>
      <c r="C236" s="64"/>
      <c r="D236" s="63"/>
      <c r="E236" s="63"/>
      <c r="F236" s="63"/>
      <c r="G236" s="63"/>
      <c r="H236" s="63"/>
      <c r="I236" s="65" t="str">
        <f aca="false">IF(OR($B236="",$C236=""),"",$C236-$B236)</f>
        <v/>
      </c>
      <c r="J236" s="66" t="str">
        <f aca="false">IF($B236="","",IF(AND($B236&gt;=Targets!$C$7,$B236&lt;Targets!$C$8+1),"Yes","No"))</f>
        <v/>
      </c>
      <c r="K236" s="65" t="str">
        <f aca="false">IF($J236="Yes",$I236,"")</f>
        <v/>
      </c>
      <c r="L236" s="66" t="str">
        <f aca="false">IF($G236="","",IFERROR(INDEX($O$6:$O$25,MATCH($G236,$N$6:$N$25,0)),"Unknown dept"))</f>
        <v/>
      </c>
    </row>
    <row r="237" customFormat="false" ht="15" hidden="false" customHeight="true" outlineLevel="0" collapsed="false">
      <c r="A237" s="67"/>
      <c r="B237" s="68"/>
      <c r="C237" s="68"/>
      <c r="D237" s="67"/>
      <c r="E237" s="67"/>
      <c r="F237" s="67"/>
      <c r="G237" s="67"/>
      <c r="H237" s="67"/>
      <c r="I237" s="65" t="str">
        <f aca="false">IF(OR($B237="",$C237=""),"",$C237-$B237)</f>
        <v/>
      </c>
      <c r="J237" s="66" t="str">
        <f aca="false">IF($B237="","",IF(AND($B237&gt;=Targets!$C$7,$B237&lt;Targets!$C$8+1),"Yes","No"))</f>
        <v/>
      </c>
      <c r="K237" s="65" t="str">
        <f aca="false">IF($J237="Yes",$I237,"")</f>
        <v/>
      </c>
      <c r="L237" s="66" t="str">
        <f aca="false">IF($G237="","",IFERROR(INDEX($O$6:$O$25,MATCH($G237,$N$6:$N$25,0)),"Unknown dept"))</f>
        <v/>
      </c>
    </row>
    <row r="238" customFormat="false" ht="15" hidden="false" customHeight="true" outlineLevel="0" collapsed="false">
      <c r="A238" s="63"/>
      <c r="B238" s="64"/>
      <c r="C238" s="64"/>
      <c r="D238" s="63"/>
      <c r="E238" s="63"/>
      <c r="F238" s="63"/>
      <c r="G238" s="63"/>
      <c r="H238" s="63"/>
      <c r="I238" s="65" t="str">
        <f aca="false">IF(OR($B238="",$C238=""),"",$C238-$B238)</f>
        <v/>
      </c>
      <c r="J238" s="66" t="str">
        <f aca="false">IF($B238="","",IF(AND($B238&gt;=Targets!$C$7,$B238&lt;Targets!$C$8+1),"Yes","No"))</f>
        <v/>
      </c>
      <c r="K238" s="65" t="str">
        <f aca="false">IF($J238="Yes",$I238,"")</f>
        <v/>
      </c>
      <c r="L238" s="66" t="str">
        <f aca="false">IF($G238="","",IFERROR(INDEX($O$6:$O$25,MATCH($G238,$N$6:$N$25,0)),"Unknown dept"))</f>
        <v/>
      </c>
    </row>
    <row r="239" customFormat="false" ht="15" hidden="false" customHeight="true" outlineLevel="0" collapsed="false">
      <c r="A239" s="67"/>
      <c r="B239" s="68"/>
      <c r="C239" s="68"/>
      <c r="D239" s="67"/>
      <c r="E239" s="67"/>
      <c r="F239" s="67"/>
      <c r="G239" s="67"/>
      <c r="H239" s="67"/>
      <c r="I239" s="65" t="str">
        <f aca="false">IF(OR($B239="",$C239=""),"",$C239-$B239)</f>
        <v/>
      </c>
      <c r="J239" s="66" t="str">
        <f aca="false">IF($B239="","",IF(AND($B239&gt;=Targets!$C$7,$B239&lt;Targets!$C$8+1),"Yes","No"))</f>
        <v/>
      </c>
      <c r="K239" s="65" t="str">
        <f aca="false">IF($J239="Yes",$I239,"")</f>
        <v/>
      </c>
      <c r="L239" s="66" t="str">
        <f aca="false">IF($G239="","",IFERROR(INDEX($O$6:$O$25,MATCH($G239,$N$6:$N$25,0)),"Unknown dept"))</f>
        <v/>
      </c>
    </row>
    <row r="240" customFormat="false" ht="15" hidden="false" customHeight="true" outlineLevel="0" collapsed="false">
      <c r="A240" s="63"/>
      <c r="B240" s="64"/>
      <c r="C240" s="64"/>
      <c r="D240" s="63"/>
      <c r="E240" s="63"/>
      <c r="F240" s="63"/>
      <c r="G240" s="63"/>
      <c r="H240" s="63"/>
      <c r="I240" s="65" t="str">
        <f aca="false">IF(OR($B240="",$C240=""),"",$C240-$B240)</f>
        <v/>
      </c>
      <c r="J240" s="66" t="str">
        <f aca="false">IF($B240="","",IF(AND($B240&gt;=Targets!$C$7,$B240&lt;Targets!$C$8+1),"Yes","No"))</f>
        <v/>
      </c>
      <c r="K240" s="65" t="str">
        <f aca="false">IF($J240="Yes",$I240,"")</f>
        <v/>
      </c>
      <c r="L240" s="66" t="str">
        <f aca="false">IF($G240="","",IFERROR(INDEX($O$6:$O$25,MATCH($G240,$N$6:$N$25,0)),"Unknown dept"))</f>
        <v/>
      </c>
    </row>
    <row r="241" customFormat="false" ht="15" hidden="false" customHeight="true" outlineLevel="0" collapsed="false">
      <c r="A241" s="67"/>
      <c r="B241" s="68"/>
      <c r="C241" s="68"/>
      <c r="D241" s="67"/>
      <c r="E241" s="67"/>
      <c r="F241" s="67"/>
      <c r="G241" s="67"/>
      <c r="H241" s="67"/>
      <c r="I241" s="65" t="str">
        <f aca="false">IF(OR($B241="",$C241=""),"",$C241-$B241)</f>
        <v/>
      </c>
      <c r="J241" s="66" t="str">
        <f aca="false">IF($B241="","",IF(AND($B241&gt;=Targets!$C$7,$B241&lt;Targets!$C$8+1),"Yes","No"))</f>
        <v/>
      </c>
      <c r="K241" s="65" t="str">
        <f aca="false">IF($J241="Yes",$I241,"")</f>
        <v/>
      </c>
      <c r="L241" s="66" t="str">
        <f aca="false">IF($G241="","",IFERROR(INDEX($O$6:$O$25,MATCH($G241,$N$6:$N$25,0)),"Unknown dept"))</f>
        <v/>
      </c>
    </row>
    <row r="242" customFormat="false" ht="15" hidden="false" customHeight="true" outlineLevel="0" collapsed="false">
      <c r="A242" s="63"/>
      <c r="B242" s="64"/>
      <c r="C242" s="64"/>
      <c r="D242" s="63"/>
      <c r="E242" s="63"/>
      <c r="F242" s="63"/>
      <c r="G242" s="63"/>
      <c r="H242" s="63"/>
      <c r="I242" s="65" t="str">
        <f aca="false">IF(OR($B242="",$C242=""),"",$C242-$B242)</f>
        <v/>
      </c>
      <c r="J242" s="66" t="str">
        <f aca="false">IF($B242="","",IF(AND($B242&gt;=Targets!$C$7,$B242&lt;Targets!$C$8+1),"Yes","No"))</f>
        <v/>
      </c>
      <c r="K242" s="65" t="str">
        <f aca="false">IF($J242="Yes",$I242,"")</f>
        <v/>
      </c>
      <c r="L242" s="66" t="str">
        <f aca="false">IF($G242="","",IFERROR(INDEX($O$6:$O$25,MATCH($G242,$N$6:$N$25,0)),"Unknown dept"))</f>
        <v/>
      </c>
    </row>
    <row r="243" customFormat="false" ht="15" hidden="false" customHeight="true" outlineLevel="0" collapsed="false">
      <c r="A243" s="67"/>
      <c r="B243" s="68"/>
      <c r="C243" s="68"/>
      <c r="D243" s="67"/>
      <c r="E243" s="67"/>
      <c r="F243" s="67"/>
      <c r="G243" s="67"/>
      <c r="H243" s="67"/>
      <c r="I243" s="65" t="str">
        <f aca="false">IF(OR($B243="",$C243=""),"",$C243-$B243)</f>
        <v/>
      </c>
      <c r="J243" s="66" t="str">
        <f aca="false">IF($B243="","",IF(AND($B243&gt;=Targets!$C$7,$B243&lt;Targets!$C$8+1),"Yes","No"))</f>
        <v/>
      </c>
      <c r="K243" s="65" t="str">
        <f aca="false">IF($J243="Yes",$I243,"")</f>
        <v/>
      </c>
      <c r="L243" s="66" t="str">
        <f aca="false">IF($G243="","",IFERROR(INDEX($O$6:$O$25,MATCH($G243,$N$6:$N$25,0)),"Unknown dept"))</f>
        <v/>
      </c>
    </row>
    <row r="244" customFormat="false" ht="15" hidden="false" customHeight="true" outlineLevel="0" collapsed="false">
      <c r="A244" s="63"/>
      <c r="B244" s="64"/>
      <c r="C244" s="64"/>
      <c r="D244" s="63"/>
      <c r="E244" s="63"/>
      <c r="F244" s="63"/>
      <c r="G244" s="63"/>
      <c r="H244" s="63"/>
      <c r="I244" s="65" t="str">
        <f aca="false">IF(OR($B244="",$C244=""),"",$C244-$B244)</f>
        <v/>
      </c>
      <c r="J244" s="66" t="str">
        <f aca="false">IF($B244="","",IF(AND($B244&gt;=Targets!$C$7,$B244&lt;Targets!$C$8+1),"Yes","No"))</f>
        <v/>
      </c>
      <c r="K244" s="65" t="str">
        <f aca="false">IF($J244="Yes",$I244,"")</f>
        <v/>
      </c>
      <c r="L244" s="66" t="str">
        <f aca="false">IF($G244="","",IFERROR(INDEX($O$6:$O$25,MATCH($G244,$N$6:$N$25,0)),"Unknown dept"))</f>
        <v/>
      </c>
    </row>
    <row r="245" customFormat="false" ht="15" hidden="false" customHeight="true" outlineLevel="0" collapsed="false">
      <c r="A245" s="67"/>
      <c r="B245" s="68"/>
      <c r="C245" s="68"/>
      <c r="D245" s="67"/>
      <c r="E245" s="67"/>
      <c r="F245" s="67"/>
      <c r="G245" s="67"/>
      <c r="H245" s="67"/>
      <c r="I245" s="65" t="str">
        <f aca="false">IF(OR($B245="",$C245=""),"",$C245-$B245)</f>
        <v/>
      </c>
      <c r="J245" s="66" t="str">
        <f aca="false">IF($B245="","",IF(AND($B245&gt;=Targets!$C$7,$B245&lt;Targets!$C$8+1),"Yes","No"))</f>
        <v/>
      </c>
      <c r="K245" s="65" t="str">
        <f aca="false">IF($J245="Yes",$I245,"")</f>
        <v/>
      </c>
      <c r="L245" s="66" t="str">
        <f aca="false">IF($G245="","",IFERROR(INDEX($O$6:$O$25,MATCH($G245,$N$6:$N$25,0)),"Unknown dept"))</f>
        <v/>
      </c>
    </row>
    <row r="246" customFormat="false" ht="15" hidden="false" customHeight="true" outlineLevel="0" collapsed="false">
      <c r="A246" s="63"/>
      <c r="B246" s="64"/>
      <c r="C246" s="64"/>
      <c r="D246" s="63"/>
      <c r="E246" s="63"/>
      <c r="F246" s="63"/>
      <c r="G246" s="63"/>
      <c r="H246" s="63"/>
      <c r="I246" s="65" t="str">
        <f aca="false">IF(OR($B246="",$C246=""),"",$C246-$B246)</f>
        <v/>
      </c>
      <c r="J246" s="66" t="str">
        <f aca="false">IF($B246="","",IF(AND($B246&gt;=Targets!$C$7,$B246&lt;Targets!$C$8+1),"Yes","No"))</f>
        <v/>
      </c>
      <c r="K246" s="65" t="str">
        <f aca="false">IF($J246="Yes",$I246,"")</f>
        <v/>
      </c>
      <c r="L246" s="66" t="str">
        <f aca="false">IF($G246="","",IFERROR(INDEX($O$6:$O$25,MATCH($G246,$N$6:$N$25,0)),"Unknown dept"))</f>
        <v/>
      </c>
    </row>
    <row r="247" customFormat="false" ht="15" hidden="false" customHeight="true" outlineLevel="0" collapsed="false">
      <c r="A247" s="67"/>
      <c r="B247" s="68"/>
      <c r="C247" s="68"/>
      <c r="D247" s="67"/>
      <c r="E247" s="67"/>
      <c r="F247" s="67"/>
      <c r="G247" s="67"/>
      <c r="H247" s="67"/>
      <c r="I247" s="65" t="str">
        <f aca="false">IF(OR($B247="",$C247=""),"",$C247-$B247)</f>
        <v/>
      </c>
      <c r="J247" s="66" t="str">
        <f aca="false">IF($B247="","",IF(AND($B247&gt;=Targets!$C$7,$B247&lt;Targets!$C$8+1),"Yes","No"))</f>
        <v/>
      </c>
      <c r="K247" s="65" t="str">
        <f aca="false">IF($J247="Yes",$I247,"")</f>
        <v/>
      </c>
      <c r="L247" s="66" t="str">
        <f aca="false">IF($G247="","",IFERROR(INDEX($O$6:$O$25,MATCH($G247,$N$6:$N$25,0)),"Unknown dept"))</f>
        <v/>
      </c>
    </row>
    <row r="248" customFormat="false" ht="15" hidden="false" customHeight="true" outlineLevel="0" collapsed="false">
      <c r="A248" s="63"/>
      <c r="B248" s="64"/>
      <c r="C248" s="64"/>
      <c r="D248" s="63"/>
      <c r="E248" s="63"/>
      <c r="F248" s="63"/>
      <c r="G248" s="63"/>
      <c r="H248" s="63"/>
      <c r="I248" s="65" t="str">
        <f aca="false">IF(OR($B248="",$C248=""),"",$C248-$B248)</f>
        <v/>
      </c>
      <c r="J248" s="66" t="str">
        <f aca="false">IF($B248="","",IF(AND($B248&gt;=Targets!$C$7,$B248&lt;Targets!$C$8+1),"Yes","No"))</f>
        <v/>
      </c>
      <c r="K248" s="65" t="str">
        <f aca="false">IF($J248="Yes",$I248,"")</f>
        <v/>
      </c>
      <c r="L248" s="66" t="str">
        <f aca="false">IF($G248="","",IFERROR(INDEX($O$6:$O$25,MATCH($G248,$N$6:$N$25,0)),"Unknown dept"))</f>
        <v/>
      </c>
    </row>
    <row r="249" customFormat="false" ht="15" hidden="false" customHeight="true" outlineLevel="0" collapsed="false">
      <c r="A249" s="67"/>
      <c r="B249" s="68"/>
      <c r="C249" s="68"/>
      <c r="D249" s="67"/>
      <c r="E249" s="67"/>
      <c r="F249" s="67"/>
      <c r="G249" s="67"/>
      <c r="H249" s="67"/>
      <c r="I249" s="65" t="str">
        <f aca="false">IF(OR($B249="",$C249=""),"",$C249-$B249)</f>
        <v/>
      </c>
      <c r="J249" s="66" t="str">
        <f aca="false">IF($B249="","",IF(AND($B249&gt;=Targets!$C$7,$B249&lt;Targets!$C$8+1),"Yes","No"))</f>
        <v/>
      </c>
      <c r="K249" s="65" t="str">
        <f aca="false">IF($J249="Yes",$I249,"")</f>
        <v/>
      </c>
      <c r="L249" s="66" t="str">
        <f aca="false">IF($G249="","",IFERROR(INDEX($O$6:$O$25,MATCH($G249,$N$6:$N$25,0)),"Unknown dept"))</f>
        <v/>
      </c>
    </row>
    <row r="250" customFormat="false" ht="15" hidden="false" customHeight="true" outlineLevel="0" collapsed="false">
      <c r="A250" s="63"/>
      <c r="B250" s="64"/>
      <c r="C250" s="64"/>
      <c r="D250" s="63"/>
      <c r="E250" s="63"/>
      <c r="F250" s="63"/>
      <c r="G250" s="63"/>
      <c r="H250" s="63"/>
      <c r="I250" s="65" t="str">
        <f aca="false">IF(OR($B250="",$C250=""),"",$C250-$B250)</f>
        <v/>
      </c>
      <c r="J250" s="66" t="str">
        <f aca="false">IF($B250="","",IF(AND($B250&gt;=Targets!$C$7,$B250&lt;Targets!$C$8+1),"Yes","No"))</f>
        <v/>
      </c>
      <c r="K250" s="65" t="str">
        <f aca="false">IF($J250="Yes",$I250,"")</f>
        <v/>
      </c>
      <c r="L250" s="66" t="str">
        <f aca="false">IF($G250="","",IFERROR(INDEX($O$6:$O$25,MATCH($G250,$N$6:$N$25,0)),"Unknown dept"))</f>
        <v/>
      </c>
    </row>
    <row r="251" customFormat="false" ht="15" hidden="false" customHeight="true" outlineLevel="0" collapsed="false">
      <c r="A251" s="67"/>
      <c r="B251" s="68"/>
      <c r="C251" s="68"/>
      <c r="D251" s="67"/>
      <c r="E251" s="67"/>
      <c r="F251" s="67"/>
      <c r="G251" s="67"/>
      <c r="H251" s="67"/>
      <c r="I251" s="65" t="str">
        <f aca="false">IF(OR($B251="",$C251=""),"",$C251-$B251)</f>
        <v/>
      </c>
      <c r="J251" s="66" t="str">
        <f aca="false">IF($B251="","",IF(AND($B251&gt;=Targets!$C$7,$B251&lt;Targets!$C$8+1),"Yes","No"))</f>
        <v/>
      </c>
      <c r="K251" s="65" t="str">
        <f aca="false">IF($J251="Yes",$I251,"")</f>
        <v/>
      </c>
      <c r="L251" s="66" t="str">
        <f aca="false">IF($G251="","",IFERROR(INDEX($O$6:$O$25,MATCH($G251,$N$6:$N$25,0)),"Unknown dept"))</f>
        <v/>
      </c>
    </row>
    <row r="252" customFormat="false" ht="15" hidden="false" customHeight="true" outlineLevel="0" collapsed="false">
      <c r="A252" s="63"/>
      <c r="B252" s="64"/>
      <c r="C252" s="64"/>
      <c r="D252" s="63"/>
      <c r="E252" s="63"/>
      <c r="F252" s="63"/>
      <c r="G252" s="63"/>
      <c r="H252" s="63"/>
      <c r="I252" s="65" t="str">
        <f aca="false">IF(OR($B252="",$C252=""),"",$C252-$B252)</f>
        <v/>
      </c>
      <c r="J252" s="66" t="str">
        <f aca="false">IF($B252="","",IF(AND($B252&gt;=Targets!$C$7,$B252&lt;Targets!$C$8+1),"Yes","No"))</f>
        <v/>
      </c>
      <c r="K252" s="65" t="str">
        <f aca="false">IF($J252="Yes",$I252,"")</f>
        <v/>
      </c>
      <c r="L252" s="66" t="str">
        <f aca="false">IF($G252="","",IFERROR(INDEX($O$6:$O$25,MATCH($G252,$N$6:$N$25,0)),"Unknown dept"))</f>
        <v/>
      </c>
    </row>
    <row r="253" customFormat="false" ht="15" hidden="false" customHeight="true" outlineLevel="0" collapsed="false">
      <c r="A253" s="67"/>
      <c r="B253" s="68"/>
      <c r="C253" s="68"/>
      <c r="D253" s="67"/>
      <c r="E253" s="67"/>
      <c r="F253" s="67"/>
      <c r="G253" s="67"/>
      <c r="H253" s="67"/>
      <c r="I253" s="65" t="str">
        <f aca="false">IF(OR($B253="",$C253=""),"",$C253-$B253)</f>
        <v/>
      </c>
      <c r="J253" s="66" t="str">
        <f aca="false">IF($B253="","",IF(AND($B253&gt;=Targets!$C$7,$B253&lt;Targets!$C$8+1),"Yes","No"))</f>
        <v/>
      </c>
      <c r="K253" s="65" t="str">
        <f aca="false">IF($J253="Yes",$I253,"")</f>
        <v/>
      </c>
      <c r="L253" s="66" t="str">
        <f aca="false">IF($G253="","",IFERROR(INDEX($O$6:$O$25,MATCH($G253,$N$6:$N$25,0)),"Unknown dept"))</f>
        <v/>
      </c>
    </row>
    <row r="254" customFormat="false" ht="15" hidden="false" customHeight="true" outlineLevel="0" collapsed="false">
      <c r="A254" s="63"/>
      <c r="B254" s="64"/>
      <c r="C254" s="64"/>
      <c r="D254" s="63"/>
      <c r="E254" s="63"/>
      <c r="F254" s="63"/>
      <c r="G254" s="63"/>
      <c r="H254" s="63"/>
      <c r="I254" s="65" t="str">
        <f aca="false">IF(OR($B254="",$C254=""),"",$C254-$B254)</f>
        <v/>
      </c>
      <c r="J254" s="66" t="str">
        <f aca="false">IF($B254="","",IF(AND($B254&gt;=Targets!$C$7,$B254&lt;Targets!$C$8+1),"Yes","No"))</f>
        <v/>
      </c>
      <c r="K254" s="65" t="str">
        <f aca="false">IF($J254="Yes",$I254,"")</f>
        <v/>
      </c>
      <c r="L254" s="66" t="str">
        <f aca="false">IF($G254="","",IFERROR(INDEX($O$6:$O$25,MATCH($G254,$N$6:$N$25,0)),"Unknown dept"))</f>
        <v/>
      </c>
    </row>
    <row r="255" customFormat="false" ht="15" hidden="false" customHeight="true" outlineLevel="0" collapsed="false">
      <c r="A255" s="67"/>
      <c r="B255" s="68"/>
      <c r="C255" s="68"/>
      <c r="D255" s="67"/>
      <c r="E255" s="67"/>
      <c r="F255" s="67"/>
      <c r="G255" s="67"/>
      <c r="H255" s="67"/>
      <c r="I255" s="65" t="str">
        <f aca="false">IF(OR($B255="",$C255=""),"",$C255-$B255)</f>
        <v/>
      </c>
      <c r="J255" s="66" t="str">
        <f aca="false">IF($B255="","",IF(AND($B255&gt;=Targets!$C$7,$B255&lt;Targets!$C$8+1),"Yes","No"))</f>
        <v/>
      </c>
      <c r="K255" s="65" t="str">
        <f aca="false">IF($J255="Yes",$I255,"")</f>
        <v/>
      </c>
      <c r="L255" s="66" t="str">
        <f aca="false">IF($G255="","",IFERROR(INDEX($O$6:$O$25,MATCH($G255,$N$6:$N$25,0)),"Unknown dept"))</f>
        <v/>
      </c>
    </row>
    <row r="256" customFormat="false" ht="15" hidden="false" customHeight="true" outlineLevel="0" collapsed="false">
      <c r="A256" s="63"/>
      <c r="B256" s="64"/>
      <c r="C256" s="64"/>
      <c r="D256" s="63"/>
      <c r="E256" s="63"/>
      <c r="F256" s="63"/>
      <c r="G256" s="63"/>
      <c r="H256" s="63"/>
      <c r="I256" s="65" t="str">
        <f aca="false">IF(OR($B256="",$C256=""),"",$C256-$B256)</f>
        <v/>
      </c>
      <c r="J256" s="66" t="str">
        <f aca="false">IF($B256="","",IF(AND($B256&gt;=Targets!$C$7,$B256&lt;Targets!$C$8+1),"Yes","No"))</f>
        <v/>
      </c>
      <c r="K256" s="65" t="str">
        <f aca="false">IF($J256="Yes",$I256,"")</f>
        <v/>
      </c>
      <c r="L256" s="66" t="str">
        <f aca="false">IF($G256="","",IFERROR(INDEX($O$6:$O$25,MATCH($G256,$N$6:$N$25,0)),"Unknown dept"))</f>
        <v/>
      </c>
    </row>
    <row r="257" customFormat="false" ht="15" hidden="false" customHeight="true" outlineLevel="0" collapsed="false">
      <c r="A257" s="67"/>
      <c r="B257" s="68"/>
      <c r="C257" s="68"/>
      <c r="D257" s="67"/>
      <c r="E257" s="67"/>
      <c r="F257" s="67"/>
      <c r="G257" s="67"/>
      <c r="H257" s="67"/>
      <c r="I257" s="65" t="str">
        <f aca="false">IF(OR($B257="",$C257=""),"",$C257-$B257)</f>
        <v/>
      </c>
      <c r="J257" s="66" t="str">
        <f aca="false">IF($B257="","",IF(AND($B257&gt;=Targets!$C$7,$B257&lt;Targets!$C$8+1),"Yes","No"))</f>
        <v/>
      </c>
      <c r="K257" s="65" t="str">
        <f aca="false">IF($J257="Yes",$I257,"")</f>
        <v/>
      </c>
      <c r="L257" s="66" t="str">
        <f aca="false">IF($G257="","",IFERROR(INDEX($O$6:$O$25,MATCH($G257,$N$6:$N$25,0)),"Unknown dept"))</f>
        <v/>
      </c>
    </row>
    <row r="258" customFormat="false" ht="15" hidden="false" customHeight="true" outlineLevel="0" collapsed="false">
      <c r="A258" s="63"/>
      <c r="B258" s="64"/>
      <c r="C258" s="64"/>
      <c r="D258" s="63"/>
      <c r="E258" s="63"/>
      <c r="F258" s="63"/>
      <c r="G258" s="63"/>
      <c r="H258" s="63"/>
      <c r="I258" s="65" t="str">
        <f aca="false">IF(OR($B258="",$C258=""),"",$C258-$B258)</f>
        <v/>
      </c>
      <c r="J258" s="66" t="str">
        <f aca="false">IF($B258="","",IF(AND($B258&gt;=Targets!$C$7,$B258&lt;Targets!$C$8+1),"Yes","No"))</f>
        <v/>
      </c>
      <c r="K258" s="65" t="str">
        <f aca="false">IF($J258="Yes",$I258,"")</f>
        <v/>
      </c>
      <c r="L258" s="66" t="str">
        <f aca="false">IF($G258="","",IFERROR(INDEX($O$6:$O$25,MATCH($G258,$N$6:$N$25,0)),"Unknown dept"))</f>
        <v/>
      </c>
    </row>
    <row r="259" customFormat="false" ht="15" hidden="false" customHeight="true" outlineLevel="0" collapsed="false">
      <c r="A259" s="67"/>
      <c r="B259" s="68"/>
      <c r="C259" s="68"/>
      <c r="D259" s="67"/>
      <c r="E259" s="67"/>
      <c r="F259" s="67"/>
      <c r="G259" s="67"/>
      <c r="H259" s="67"/>
      <c r="I259" s="65" t="str">
        <f aca="false">IF(OR($B259="",$C259=""),"",$C259-$B259)</f>
        <v/>
      </c>
      <c r="J259" s="66" t="str">
        <f aca="false">IF($B259="","",IF(AND($B259&gt;=Targets!$C$7,$B259&lt;Targets!$C$8+1),"Yes","No"))</f>
        <v/>
      </c>
      <c r="K259" s="65" t="str">
        <f aca="false">IF($J259="Yes",$I259,"")</f>
        <v/>
      </c>
      <c r="L259" s="66" t="str">
        <f aca="false">IF($G259="","",IFERROR(INDEX($O$6:$O$25,MATCH($G259,$N$6:$N$25,0)),"Unknown dept"))</f>
        <v/>
      </c>
    </row>
    <row r="260" customFormat="false" ht="15" hidden="false" customHeight="true" outlineLevel="0" collapsed="false">
      <c r="A260" s="63"/>
      <c r="B260" s="64"/>
      <c r="C260" s="64"/>
      <c r="D260" s="63"/>
      <c r="E260" s="63"/>
      <c r="F260" s="63"/>
      <c r="G260" s="63"/>
      <c r="H260" s="63"/>
      <c r="I260" s="65" t="str">
        <f aca="false">IF(OR($B260="",$C260=""),"",$C260-$B260)</f>
        <v/>
      </c>
      <c r="J260" s="66" t="str">
        <f aca="false">IF($B260="","",IF(AND($B260&gt;=Targets!$C$7,$B260&lt;Targets!$C$8+1),"Yes","No"))</f>
        <v/>
      </c>
      <c r="K260" s="65" t="str">
        <f aca="false">IF($J260="Yes",$I260,"")</f>
        <v/>
      </c>
      <c r="L260" s="66" t="str">
        <f aca="false">IF($G260="","",IFERROR(INDEX($O$6:$O$25,MATCH($G260,$N$6:$N$25,0)),"Unknown dept"))</f>
        <v/>
      </c>
    </row>
    <row r="261" customFormat="false" ht="15" hidden="false" customHeight="true" outlineLevel="0" collapsed="false">
      <c r="A261" s="67"/>
      <c r="B261" s="68"/>
      <c r="C261" s="68"/>
      <c r="D261" s="67"/>
      <c r="E261" s="67"/>
      <c r="F261" s="67"/>
      <c r="G261" s="67"/>
      <c r="H261" s="67"/>
      <c r="I261" s="65" t="str">
        <f aca="false">IF(OR($B261="",$C261=""),"",$C261-$B261)</f>
        <v/>
      </c>
      <c r="J261" s="66" t="str">
        <f aca="false">IF($B261="","",IF(AND($B261&gt;=Targets!$C$7,$B261&lt;Targets!$C$8+1),"Yes","No"))</f>
        <v/>
      </c>
      <c r="K261" s="65" t="str">
        <f aca="false">IF($J261="Yes",$I261,"")</f>
        <v/>
      </c>
      <c r="L261" s="66" t="str">
        <f aca="false">IF($G261="","",IFERROR(INDEX($O$6:$O$25,MATCH($G261,$N$6:$N$25,0)),"Unknown dept"))</f>
        <v/>
      </c>
    </row>
    <row r="262" customFormat="false" ht="15" hidden="false" customHeight="true" outlineLevel="0" collapsed="false">
      <c r="A262" s="63"/>
      <c r="B262" s="64"/>
      <c r="C262" s="64"/>
      <c r="D262" s="63"/>
      <c r="E262" s="63"/>
      <c r="F262" s="63"/>
      <c r="G262" s="63"/>
      <c r="H262" s="63"/>
      <c r="I262" s="65" t="str">
        <f aca="false">IF(OR($B262="",$C262=""),"",$C262-$B262)</f>
        <v/>
      </c>
      <c r="J262" s="66" t="str">
        <f aca="false">IF($B262="","",IF(AND($B262&gt;=Targets!$C$7,$B262&lt;Targets!$C$8+1),"Yes","No"))</f>
        <v/>
      </c>
      <c r="K262" s="65" t="str">
        <f aca="false">IF($J262="Yes",$I262,"")</f>
        <v/>
      </c>
      <c r="L262" s="66" t="str">
        <f aca="false">IF($G262="","",IFERROR(INDEX($O$6:$O$25,MATCH($G262,$N$6:$N$25,0)),"Unknown dept"))</f>
        <v/>
      </c>
    </row>
    <row r="263" customFormat="false" ht="15" hidden="false" customHeight="true" outlineLevel="0" collapsed="false">
      <c r="A263" s="67"/>
      <c r="B263" s="68"/>
      <c r="C263" s="68"/>
      <c r="D263" s="67"/>
      <c r="E263" s="67"/>
      <c r="F263" s="67"/>
      <c r="G263" s="67"/>
      <c r="H263" s="67"/>
      <c r="I263" s="65" t="str">
        <f aca="false">IF(OR($B263="",$C263=""),"",$C263-$B263)</f>
        <v/>
      </c>
      <c r="J263" s="66" t="str">
        <f aca="false">IF($B263="","",IF(AND($B263&gt;=Targets!$C$7,$B263&lt;Targets!$C$8+1),"Yes","No"))</f>
        <v/>
      </c>
      <c r="K263" s="65" t="str">
        <f aca="false">IF($J263="Yes",$I263,"")</f>
        <v/>
      </c>
      <c r="L263" s="66" t="str">
        <f aca="false">IF($G263="","",IFERROR(INDEX($O$6:$O$25,MATCH($G263,$N$6:$N$25,0)),"Unknown dept"))</f>
        <v/>
      </c>
    </row>
    <row r="264" customFormat="false" ht="15" hidden="false" customHeight="true" outlineLevel="0" collapsed="false">
      <c r="A264" s="63"/>
      <c r="B264" s="64"/>
      <c r="C264" s="64"/>
      <c r="D264" s="63"/>
      <c r="E264" s="63"/>
      <c r="F264" s="63"/>
      <c r="G264" s="63"/>
      <c r="H264" s="63"/>
      <c r="I264" s="65" t="str">
        <f aca="false">IF(OR($B264="",$C264=""),"",$C264-$B264)</f>
        <v/>
      </c>
      <c r="J264" s="66" t="str">
        <f aca="false">IF($B264="","",IF(AND($B264&gt;=Targets!$C$7,$B264&lt;Targets!$C$8+1),"Yes","No"))</f>
        <v/>
      </c>
      <c r="K264" s="65" t="str">
        <f aca="false">IF($J264="Yes",$I264,"")</f>
        <v/>
      </c>
      <c r="L264" s="66" t="str">
        <f aca="false">IF($G264="","",IFERROR(INDEX($O$6:$O$25,MATCH($G264,$N$6:$N$25,0)),"Unknown dept"))</f>
        <v/>
      </c>
    </row>
    <row r="265" customFormat="false" ht="15" hidden="false" customHeight="true" outlineLevel="0" collapsed="false">
      <c r="A265" s="67"/>
      <c r="B265" s="68"/>
      <c r="C265" s="68"/>
      <c r="D265" s="67"/>
      <c r="E265" s="67"/>
      <c r="F265" s="67"/>
      <c r="G265" s="67"/>
      <c r="H265" s="67"/>
      <c r="I265" s="65" t="str">
        <f aca="false">IF(OR($B265="",$C265=""),"",$C265-$B265)</f>
        <v/>
      </c>
      <c r="J265" s="66" t="str">
        <f aca="false">IF($B265="","",IF(AND($B265&gt;=Targets!$C$7,$B265&lt;Targets!$C$8+1),"Yes","No"))</f>
        <v/>
      </c>
      <c r="K265" s="65" t="str">
        <f aca="false">IF($J265="Yes",$I265,"")</f>
        <v/>
      </c>
      <c r="L265" s="66" t="str">
        <f aca="false">IF($G265="","",IFERROR(INDEX($O$6:$O$25,MATCH($G265,$N$6:$N$25,0)),"Unknown dept"))</f>
        <v/>
      </c>
    </row>
    <row r="266" customFormat="false" ht="15" hidden="false" customHeight="true" outlineLevel="0" collapsed="false">
      <c r="A266" s="63"/>
      <c r="B266" s="64"/>
      <c r="C266" s="64"/>
      <c r="D266" s="63"/>
      <c r="E266" s="63"/>
      <c r="F266" s="63"/>
      <c r="G266" s="63"/>
      <c r="H266" s="63"/>
      <c r="I266" s="65" t="str">
        <f aca="false">IF(OR($B266="",$C266=""),"",$C266-$B266)</f>
        <v/>
      </c>
      <c r="J266" s="66" t="str">
        <f aca="false">IF($B266="","",IF(AND($B266&gt;=Targets!$C$7,$B266&lt;Targets!$C$8+1),"Yes","No"))</f>
        <v/>
      </c>
      <c r="K266" s="65" t="str">
        <f aca="false">IF($J266="Yes",$I266,"")</f>
        <v/>
      </c>
      <c r="L266" s="66" t="str">
        <f aca="false">IF($G266="","",IFERROR(INDEX($O$6:$O$25,MATCH($G266,$N$6:$N$25,0)),"Unknown dept"))</f>
        <v/>
      </c>
    </row>
    <row r="267" customFormat="false" ht="15" hidden="false" customHeight="true" outlineLevel="0" collapsed="false">
      <c r="A267" s="67"/>
      <c r="B267" s="68"/>
      <c r="C267" s="68"/>
      <c r="D267" s="67"/>
      <c r="E267" s="67"/>
      <c r="F267" s="67"/>
      <c r="G267" s="67"/>
      <c r="H267" s="67"/>
      <c r="I267" s="65" t="str">
        <f aca="false">IF(OR($B267="",$C267=""),"",$C267-$B267)</f>
        <v/>
      </c>
      <c r="J267" s="66" t="str">
        <f aca="false">IF($B267="","",IF(AND($B267&gt;=Targets!$C$7,$B267&lt;Targets!$C$8+1),"Yes","No"))</f>
        <v/>
      </c>
      <c r="K267" s="65" t="str">
        <f aca="false">IF($J267="Yes",$I267,"")</f>
        <v/>
      </c>
      <c r="L267" s="66" t="str">
        <f aca="false">IF($G267="","",IFERROR(INDEX($O$6:$O$25,MATCH($G267,$N$6:$N$25,0)),"Unknown dept"))</f>
        <v/>
      </c>
    </row>
    <row r="268" customFormat="false" ht="15" hidden="false" customHeight="true" outlineLevel="0" collapsed="false">
      <c r="A268" s="63"/>
      <c r="B268" s="64"/>
      <c r="C268" s="64"/>
      <c r="D268" s="63"/>
      <c r="E268" s="63"/>
      <c r="F268" s="63"/>
      <c r="G268" s="63"/>
      <c r="H268" s="63"/>
      <c r="I268" s="65" t="str">
        <f aca="false">IF(OR($B268="",$C268=""),"",$C268-$B268)</f>
        <v/>
      </c>
      <c r="J268" s="66" t="str">
        <f aca="false">IF($B268="","",IF(AND($B268&gt;=Targets!$C$7,$B268&lt;Targets!$C$8+1),"Yes","No"))</f>
        <v/>
      </c>
      <c r="K268" s="65" t="str">
        <f aca="false">IF($J268="Yes",$I268,"")</f>
        <v/>
      </c>
      <c r="L268" s="66" t="str">
        <f aca="false">IF($G268="","",IFERROR(INDEX($O$6:$O$25,MATCH($G268,$N$6:$N$25,0)),"Unknown dept"))</f>
        <v/>
      </c>
    </row>
    <row r="269" customFormat="false" ht="15" hidden="false" customHeight="true" outlineLevel="0" collapsed="false">
      <c r="A269" s="67"/>
      <c r="B269" s="68"/>
      <c r="C269" s="68"/>
      <c r="D269" s="67"/>
      <c r="E269" s="67"/>
      <c r="F269" s="67"/>
      <c r="G269" s="67"/>
      <c r="H269" s="67"/>
      <c r="I269" s="65" t="str">
        <f aca="false">IF(OR($B269="",$C269=""),"",$C269-$B269)</f>
        <v/>
      </c>
      <c r="J269" s="66" t="str">
        <f aca="false">IF($B269="","",IF(AND($B269&gt;=Targets!$C$7,$B269&lt;Targets!$C$8+1),"Yes","No"))</f>
        <v/>
      </c>
      <c r="K269" s="65" t="str">
        <f aca="false">IF($J269="Yes",$I269,"")</f>
        <v/>
      </c>
      <c r="L269" s="66" t="str">
        <f aca="false">IF($G269="","",IFERROR(INDEX($O$6:$O$25,MATCH($G269,$N$6:$N$25,0)),"Unknown dept"))</f>
        <v/>
      </c>
    </row>
    <row r="270" customFormat="false" ht="15" hidden="false" customHeight="true" outlineLevel="0" collapsed="false">
      <c r="A270" s="63"/>
      <c r="B270" s="64"/>
      <c r="C270" s="64"/>
      <c r="D270" s="63"/>
      <c r="E270" s="63"/>
      <c r="F270" s="63"/>
      <c r="G270" s="63"/>
      <c r="H270" s="63"/>
      <c r="I270" s="65" t="str">
        <f aca="false">IF(OR($B270="",$C270=""),"",$C270-$B270)</f>
        <v/>
      </c>
      <c r="J270" s="66" t="str">
        <f aca="false">IF($B270="","",IF(AND($B270&gt;=Targets!$C$7,$B270&lt;Targets!$C$8+1),"Yes","No"))</f>
        <v/>
      </c>
      <c r="K270" s="65" t="str">
        <f aca="false">IF($J270="Yes",$I270,"")</f>
        <v/>
      </c>
      <c r="L270" s="66" t="str">
        <f aca="false">IF($G270="","",IFERROR(INDEX($O$6:$O$25,MATCH($G270,$N$6:$N$25,0)),"Unknown dept"))</f>
        <v/>
      </c>
    </row>
    <row r="271" customFormat="false" ht="15" hidden="false" customHeight="true" outlineLevel="0" collapsed="false">
      <c r="A271" s="67"/>
      <c r="B271" s="68"/>
      <c r="C271" s="68"/>
      <c r="D271" s="67"/>
      <c r="E271" s="67"/>
      <c r="F271" s="67"/>
      <c r="G271" s="67"/>
      <c r="H271" s="67"/>
      <c r="I271" s="65" t="str">
        <f aca="false">IF(OR($B271="",$C271=""),"",$C271-$B271)</f>
        <v/>
      </c>
      <c r="J271" s="66" t="str">
        <f aca="false">IF($B271="","",IF(AND($B271&gt;=Targets!$C$7,$B271&lt;Targets!$C$8+1),"Yes","No"))</f>
        <v/>
      </c>
      <c r="K271" s="65" t="str">
        <f aca="false">IF($J271="Yes",$I271,"")</f>
        <v/>
      </c>
      <c r="L271" s="66" t="str">
        <f aca="false">IF($G271="","",IFERROR(INDEX($O$6:$O$25,MATCH($G271,$N$6:$N$25,0)),"Unknown dept"))</f>
        <v/>
      </c>
    </row>
    <row r="272" customFormat="false" ht="15" hidden="false" customHeight="true" outlineLevel="0" collapsed="false">
      <c r="A272" s="63"/>
      <c r="B272" s="64"/>
      <c r="C272" s="64"/>
      <c r="D272" s="63"/>
      <c r="E272" s="63"/>
      <c r="F272" s="63"/>
      <c r="G272" s="63"/>
      <c r="H272" s="63"/>
      <c r="I272" s="65" t="str">
        <f aca="false">IF(OR($B272="",$C272=""),"",$C272-$B272)</f>
        <v/>
      </c>
      <c r="J272" s="66" t="str">
        <f aca="false">IF($B272="","",IF(AND($B272&gt;=Targets!$C$7,$B272&lt;Targets!$C$8+1),"Yes","No"))</f>
        <v/>
      </c>
      <c r="K272" s="65" t="str">
        <f aca="false">IF($J272="Yes",$I272,"")</f>
        <v/>
      </c>
      <c r="L272" s="66" t="str">
        <f aca="false">IF($G272="","",IFERROR(INDEX($O$6:$O$25,MATCH($G272,$N$6:$N$25,0)),"Unknown dept"))</f>
        <v/>
      </c>
    </row>
    <row r="273" customFormat="false" ht="15" hidden="false" customHeight="true" outlineLevel="0" collapsed="false">
      <c r="A273" s="67"/>
      <c r="B273" s="68"/>
      <c r="C273" s="68"/>
      <c r="D273" s="67"/>
      <c r="E273" s="67"/>
      <c r="F273" s="67"/>
      <c r="G273" s="67"/>
      <c r="H273" s="67"/>
      <c r="I273" s="65" t="str">
        <f aca="false">IF(OR($B273="",$C273=""),"",$C273-$B273)</f>
        <v/>
      </c>
      <c r="J273" s="66" t="str">
        <f aca="false">IF($B273="","",IF(AND($B273&gt;=Targets!$C$7,$B273&lt;Targets!$C$8+1),"Yes","No"))</f>
        <v/>
      </c>
      <c r="K273" s="65" t="str">
        <f aca="false">IF($J273="Yes",$I273,"")</f>
        <v/>
      </c>
      <c r="L273" s="66" t="str">
        <f aca="false">IF($G273="","",IFERROR(INDEX($O$6:$O$25,MATCH($G273,$N$6:$N$25,0)),"Unknown dept"))</f>
        <v/>
      </c>
    </row>
    <row r="274" customFormat="false" ht="15" hidden="false" customHeight="true" outlineLevel="0" collapsed="false">
      <c r="A274" s="63"/>
      <c r="B274" s="64"/>
      <c r="C274" s="64"/>
      <c r="D274" s="63"/>
      <c r="E274" s="63"/>
      <c r="F274" s="63"/>
      <c r="G274" s="63"/>
      <c r="H274" s="63"/>
      <c r="I274" s="65" t="str">
        <f aca="false">IF(OR($B274="",$C274=""),"",$C274-$B274)</f>
        <v/>
      </c>
      <c r="J274" s="66" t="str">
        <f aca="false">IF($B274="","",IF(AND($B274&gt;=Targets!$C$7,$B274&lt;Targets!$C$8+1),"Yes","No"))</f>
        <v/>
      </c>
      <c r="K274" s="65" t="str">
        <f aca="false">IF($J274="Yes",$I274,"")</f>
        <v/>
      </c>
      <c r="L274" s="66" t="str">
        <f aca="false">IF($G274="","",IFERROR(INDEX($O$6:$O$25,MATCH($G274,$N$6:$N$25,0)),"Unknown dept"))</f>
        <v/>
      </c>
    </row>
    <row r="275" customFormat="false" ht="15" hidden="false" customHeight="true" outlineLevel="0" collapsed="false">
      <c r="A275" s="67"/>
      <c r="B275" s="68"/>
      <c r="C275" s="68"/>
      <c r="D275" s="67"/>
      <c r="E275" s="67"/>
      <c r="F275" s="67"/>
      <c r="G275" s="67"/>
      <c r="H275" s="67"/>
      <c r="I275" s="65" t="str">
        <f aca="false">IF(OR($B275="",$C275=""),"",$C275-$B275)</f>
        <v/>
      </c>
      <c r="J275" s="66" t="str">
        <f aca="false">IF($B275="","",IF(AND($B275&gt;=Targets!$C$7,$B275&lt;Targets!$C$8+1),"Yes","No"))</f>
        <v/>
      </c>
      <c r="K275" s="65" t="str">
        <f aca="false">IF($J275="Yes",$I275,"")</f>
        <v/>
      </c>
      <c r="L275" s="66" t="str">
        <f aca="false">IF($G275="","",IFERROR(INDEX($O$6:$O$25,MATCH($G275,$N$6:$N$25,0)),"Unknown dept"))</f>
        <v/>
      </c>
    </row>
    <row r="276" customFormat="false" ht="15" hidden="false" customHeight="true" outlineLevel="0" collapsed="false">
      <c r="A276" s="63"/>
      <c r="B276" s="64"/>
      <c r="C276" s="64"/>
      <c r="D276" s="63"/>
      <c r="E276" s="63"/>
      <c r="F276" s="63"/>
      <c r="G276" s="63"/>
      <c r="H276" s="63"/>
      <c r="I276" s="65" t="str">
        <f aca="false">IF(OR($B276="",$C276=""),"",$C276-$B276)</f>
        <v/>
      </c>
      <c r="J276" s="66" t="str">
        <f aca="false">IF($B276="","",IF(AND($B276&gt;=Targets!$C$7,$B276&lt;Targets!$C$8+1),"Yes","No"))</f>
        <v/>
      </c>
      <c r="K276" s="65" t="str">
        <f aca="false">IF($J276="Yes",$I276,"")</f>
        <v/>
      </c>
      <c r="L276" s="66" t="str">
        <f aca="false">IF($G276="","",IFERROR(INDEX($O$6:$O$25,MATCH($G276,$N$6:$N$25,0)),"Unknown dept"))</f>
        <v/>
      </c>
    </row>
    <row r="277" customFormat="false" ht="15" hidden="false" customHeight="true" outlineLevel="0" collapsed="false">
      <c r="A277" s="67"/>
      <c r="B277" s="68"/>
      <c r="C277" s="68"/>
      <c r="D277" s="67"/>
      <c r="E277" s="67"/>
      <c r="F277" s="67"/>
      <c r="G277" s="67"/>
      <c r="H277" s="67"/>
      <c r="I277" s="65" t="str">
        <f aca="false">IF(OR($B277="",$C277=""),"",$C277-$B277)</f>
        <v/>
      </c>
      <c r="J277" s="66" t="str">
        <f aca="false">IF($B277="","",IF(AND($B277&gt;=Targets!$C$7,$B277&lt;Targets!$C$8+1),"Yes","No"))</f>
        <v/>
      </c>
      <c r="K277" s="65" t="str">
        <f aca="false">IF($J277="Yes",$I277,"")</f>
        <v/>
      </c>
      <c r="L277" s="66" t="str">
        <f aca="false">IF($G277="","",IFERROR(INDEX($O$6:$O$25,MATCH($G277,$N$6:$N$25,0)),"Unknown dept"))</f>
        <v/>
      </c>
    </row>
    <row r="278" customFormat="false" ht="15" hidden="false" customHeight="true" outlineLevel="0" collapsed="false">
      <c r="A278" s="63"/>
      <c r="B278" s="64"/>
      <c r="C278" s="64"/>
      <c r="D278" s="63"/>
      <c r="E278" s="63"/>
      <c r="F278" s="63"/>
      <c r="G278" s="63"/>
      <c r="H278" s="63"/>
      <c r="I278" s="65" t="str">
        <f aca="false">IF(OR($B278="",$C278=""),"",$C278-$B278)</f>
        <v/>
      </c>
      <c r="J278" s="66" t="str">
        <f aca="false">IF($B278="","",IF(AND($B278&gt;=Targets!$C$7,$B278&lt;Targets!$C$8+1),"Yes","No"))</f>
        <v/>
      </c>
      <c r="K278" s="65" t="str">
        <f aca="false">IF($J278="Yes",$I278,"")</f>
        <v/>
      </c>
      <c r="L278" s="66" t="str">
        <f aca="false">IF($G278="","",IFERROR(INDEX($O$6:$O$25,MATCH($G278,$N$6:$N$25,0)),"Unknown dept"))</f>
        <v/>
      </c>
    </row>
    <row r="279" customFormat="false" ht="15" hidden="false" customHeight="true" outlineLevel="0" collapsed="false">
      <c r="A279" s="67"/>
      <c r="B279" s="68"/>
      <c r="C279" s="68"/>
      <c r="D279" s="67"/>
      <c r="E279" s="67"/>
      <c r="F279" s="67"/>
      <c r="G279" s="67"/>
      <c r="H279" s="67"/>
      <c r="I279" s="65" t="str">
        <f aca="false">IF(OR($B279="",$C279=""),"",$C279-$B279)</f>
        <v/>
      </c>
      <c r="J279" s="66" t="str">
        <f aca="false">IF($B279="","",IF(AND($B279&gt;=Targets!$C$7,$B279&lt;Targets!$C$8+1),"Yes","No"))</f>
        <v/>
      </c>
      <c r="K279" s="65" t="str">
        <f aca="false">IF($J279="Yes",$I279,"")</f>
        <v/>
      </c>
      <c r="L279" s="66" t="str">
        <f aca="false">IF($G279="","",IFERROR(INDEX($O$6:$O$25,MATCH($G279,$N$6:$N$25,0)),"Unknown dept"))</f>
        <v/>
      </c>
    </row>
    <row r="280" customFormat="false" ht="15" hidden="false" customHeight="true" outlineLevel="0" collapsed="false">
      <c r="A280" s="63"/>
      <c r="B280" s="64"/>
      <c r="C280" s="64"/>
      <c r="D280" s="63"/>
      <c r="E280" s="63"/>
      <c r="F280" s="63"/>
      <c r="G280" s="63"/>
      <c r="H280" s="63"/>
      <c r="I280" s="65" t="str">
        <f aca="false">IF(OR($B280="",$C280=""),"",$C280-$B280)</f>
        <v/>
      </c>
      <c r="J280" s="66" t="str">
        <f aca="false">IF($B280="","",IF(AND($B280&gt;=Targets!$C$7,$B280&lt;Targets!$C$8+1),"Yes","No"))</f>
        <v/>
      </c>
      <c r="K280" s="65" t="str">
        <f aca="false">IF($J280="Yes",$I280,"")</f>
        <v/>
      </c>
      <c r="L280" s="66" t="str">
        <f aca="false">IF($G280="","",IFERROR(INDEX($O$6:$O$25,MATCH($G280,$N$6:$N$25,0)),"Unknown dept"))</f>
        <v/>
      </c>
    </row>
    <row r="281" customFormat="false" ht="15" hidden="false" customHeight="true" outlineLevel="0" collapsed="false">
      <c r="A281" s="67"/>
      <c r="B281" s="68"/>
      <c r="C281" s="68"/>
      <c r="D281" s="67"/>
      <c r="E281" s="67"/>
      <c r="F281" s="67"/>
      <c r="G281" s="67"/>
      <c r="H281" s="67"/>
      <c r="I281" s="65" t="str">
        <f aca="false">IF(OR($B281="",$C281=""),"",$C281-$B281)</f>
        <v/>
      </c>
      <c r="J281" s="66" t="str">
        <f aca="false">IF($B281="","",IF(AND($B281&gt;=Targets!$C$7,$B281&lt;Targets!$C$8+1),"Yes","No"))</f>
        <v/>
      </c>
      <c r="K281" s="65" t="str">
        <f aca="false">IF($J281="Yes",$I281,"")</f>
        <v/>
      </c>
      <c r="L281" s="66" t="str">
        <f aca="false">IF($G281="","",IFERROR(INDEX($O$6:$O$25,MATCH($G281,$N$6:$N$25,0)),"Unknown dept"))</f>
        <v/>
      </c>
    </row>
    <row r="282" customFormat="false" ht="15" hidden="false" customHeight="true" outlineLevel="0" collapsed="false">
      <c r="A282" s="63"/>
      <c r="B282" s="64"/>
      <c r="C282" s="64"/>
      <c r="D282" s="63"/>
      <c r="E282" s="63"/>
      <c r="F282" s="63"/>
      <c r="G282" s="63"/>
      <c r="H282" s="63"/>
      <c r="I282" s="65" t="str">
        <f aca="false">IF(OR($B282="",$C282=""),"",$C282-$B282)</f>
        <v/>
      </c>
      <c r="J282" s="66" t="str">
        <f aca="false">IF($B282="","",IF(AND($B282&gt;=Targets!$C$7,$B282&lt;Targets!$C$8+1),"Yes","No"))</f>
        <v/>
      </c>
      <c r="K282" s="65" t="str">
        <f aca="false">IF($J282="Yes",$I282,"")</f>
        <v/>
      </c>
      <c r="L282" s="66" t="str">
        <f aca="false">IF($G282="","",IFERROR(INDEX($O$6:$O$25,MATCH($G282,$N$6:$N$25,0)),"Unknown dept"))</f>
        <v/>
      </c>
    </row>
    <row r="283" customFormat="false" ht="15" hidden="false" customHeight="true" outlineLevel="0" collapsed="false">
      <c r="A283" s="67"/>
      <c r="B283" s="68"/>
      <c r="C283" s="68"/>
      <c r="D283" s="67"/>
      <c r="E283" s="67"/>
      <c r="F283" s="67"/>
      <c r="G283" s="67"/>
      <c r="H283" s="67"/>
      <c r="I283" s="65" t="str">
        <f aca="false">IF(OR($B283="",$C283=""),"",$C283-$B283)</f>
        <v/>
      </c>
      <c r="J283" s="66" t="str">
        <f aca="false">IF($B283="","",IF(AND($B283&gt;=Targets!$C$7,$B283&lt;Targets!$C$8+1),"Yes","No"))</f>
        <v/>
      </c>
      <c r="K283" s="65" t="str">
        <f aca="false">IF($J283="Yes",$I283,"")</f>
        <v/>
      </c>
      <c r="L283" s="66" t="str">
        <f aca="false">IF($G283="","",IFERROR(INDEX($O$6:$O$25,MATCH($G283,$N$6:$N$25,0)),"Unknown dept"))</f>
        <v/>
      </c>
    </row>
    <row r="284" customFormat="false" ht="15" hidden="false" customHeight="true" outlineLevel="0" collapsed="false">
      <c r="A284" s="63"/>
      <c r="B284" s="64"/>
      <c r="C284" s="64"/>
      <c r="D284" s="63"/>
      <c r="E284" s="63"/>
      <c r="F284" s="63"/>
      <c r="G284" s="63"/>
      <c r="H284" s="63"/>
      <c r="I284" s="65" t="str">
        <f aca="false">IF(OR($B284="",$C284=""),"",$C284-$B284)</f>
        <v/>
      </c>
      <c r="J284" s="66" t="str">
        <f aca="false">IF($B284="","",IF(AND($B284&gt;=Targets!$C$7,$B284&lt;Targets!$C$8+1),"Yes","No"))</f>
        <v/>
      </c>
      <c r="K284" s="65" t="str">
        <f aca="false">IF($J284="Yes",$I284,"")</f>
        <v/>
      </c>
      <c r="L284" s="66" t="str">
        <f aca="false">IF($G284="","",IFERROR(INDEX($O$6:$O$25,MATCH($G284,$N$6:$N$25,0)),"Unknown dept"))</f>
        <v/>
      </c>
    </row>
    <row r="285" customFormat="false" ht="15" hidden="false" customHeight="true" outlineLevel="0" collapsed="false">
      <c r="A285" s="67"/>
      <c r="B285" s="68"/>
      <c r="C285" s="68"/>
      <c r="D285" s="67"/>
      <c r="E285" s="67"/>
      <c r="F285" s="67"/>
      <c r="G285" s="67"/>
      <c r="H285" s="67"/>
      <c r="I285" s="65" t="str">
        <f aca="false">IF(OR($B285="",$C285=""),"",$C285-$B285)</f>
        <v/>
      </c>
      <c r="J285" s="66" t="str">
        <f aca="false">IF($B285="","",IF(AND($B285&gt;=Targets!$C$7,$B285&lt;Targets!$C$8+1),"Yes","No"))</f>
        <v/>
      </c>
      <c r="K285" s="65" t="str">
        <f aca="false">IF($J285="Yes",$I285,"")</f>
        <v/>
      </c>
      <c r="L285" s="66" t="str">
        <f aca="false">IF($G285="","",IFERROR(INDEX($O$6:$O$25,MATCH($G285,$N$6:$N$25,0)),"Unknown dept"))</f>
        <v/>
      </c>
    </row>
    <row r="286" customFormat="false" ht="15" hidden="false" customHeight="true" outlineLevel="0" collapsed="false">
      <c r="A286" s="63"/>
      <c r="B286" s="64"/>
      <c r="C286" s="64"/>
      <c r="D286" s="63"/>
      <c r="E286" s="63"/>
      <c r="F286" s="63"/>
      <c r="G286" s="63"/>
      <c r="H286" s="63"/>
      <c r="I286" s="65" t="str">
        <f aca="false">IF(OR($B286="",$C286=""),"",$C286-$B286)</f>
        <v/>
      </c>
      <c r="J286" s="66" t="str">
        <f aca="false">IF($B286="","",IF(AND($B286&gt;=Targets!$C$7,$B286&lt;Targets!$C$8+1),"Yes","No"))</f>
        <v/>
      </c>
      <c r="K286" s="65" t="str">
        <f aca="false">IF($J286="Yes",$I286,"")</f>
        <v/>
      </c>
      <c r="L286" s="66" t="str">
        <f aca="false">IF($G286="","",IFERROR(INDEX($O$6:$O$25,MATCH($G286,$N$6:$N$25,0)),"Unknown dept"))</f>
        <v/>
      </c>
    </row>
    <row r="287" customFormat="false" ht="15" hidden="false" customHeight="true" outlineLevel="0" collapsed="false">
      <c r="A287" s="67"/>
      <c r="B287" s="68"/>
      <c r="C287" s="68"/>
      <c r="D287" s="67"/>
      <c r="E287" s="67"/>
      <c r="F287" s="67"/>
      <c r="G287" s="67"/>
      <c r="H287" s="67"/>
      <c r="I287" s="65" t="str">
        <f aca="false">IF(OR($B287="",$C287=""),"",$C287-$B287)</f>
        <v/>
      </c>
      <c r="J287" s="66" t="str">
        <f aca="false">IF($B287="","",IF(AND($B287&gt;=Targets!$C$7,$B287&lt;Targets!$C$8+1),"Yes","No"))</f>
        <v/>
      </c>
      <c r="K287" s="65" t="str">
        <f aca="false">IF($J287="Yes",$I287,"")</f>
        <v/>
      </c>
      <c r="L287" s="66" t="str">
        <f aca="false">IF($G287="","",IFERROR(INDEX($O$6:$O$25,MATCH($G287,$N$6:$N$25,0)),"Unknown dept"))</f>
        <v/>
      </c>
    </row>
    <row r="288" customFormat="false" ht="15" hidden="false" customHeight="true" outlineLevel="0" collapsed="false">
      <c r="A288" s="63"/>
      <c r="B288" s="64"/>
      <c r="C288" s="64"/>
      <c r="D288" s="63"/>
      <c r="E288" s="63"/>
      <c r="F288" s="63"/>
      <c r="G288" s="63"/>
      <c r="H288" s="63"/>
      <c r="I288" s="65" t="str">
        <f aca="false">IF(OR($B288="",$C288=""),"",$C288-$B288)</f>
        <v/>
      </c>
      <c r="J288" s="66" t="str">
        <f aca="false">IF($B288="","",IF(AND($B288&gt;=Targets!$C$7,$B288&lt;Targets!$C$8+1),"Yes","No"))</f>
        <v/>
      </c>
      <c r="K288" s="65" t="str">
        <f aca="false">IF($J288="Yes",$I288,"")</f>
        <v/>
      </c>
      <c r="L288" s="66" t="str">
        <f aca="false">IF($G288="","",IFERROR(INDEX($O$6:$O$25,MATCH($G288,$N$6:$N$25,0)),"Unknown dept"))</f>
        <v/>
      </c>
    </row>
    <row r="289" customFormat="false" ht="15" hidden="false" customHeight="true" outlineLevel="0" collapsed="false">
      <c r="A289" s="67"/>
      <c r="B289" s="68"/>
      <c r="C289" s="68"/>
      <c r="D289" s="67"/>
      <c r="E289" s="67"/>
      <c r="F289" s="67"/>
      <c r="G289" s="67"/>
      <c r="H289" s="67"/>
      <c r="I289" s="65" t="str">
        <f aca="false">IF(OR($B289="",$C289=""),"",$C289-$B289)</f>
        <v/>
      </c>
      <c r="J289" s="66" t="str">
        <f aca="false">IF($B289="","",IF(AND($B289&gt;=Targets!$C$7,$B289&lt;Targets!$C$8+1),"Yes","No"))</f>
        <v/>
      </c>
      <c r="K289" s="65" t="str">
        <f aca="false">IF($J289="Yes",$I289,"")</f>
        <v/>
      </c>
      <c r="L289" s="66" t="str">
        <f aca="false">IF($G289="","",IFERROR(INDEX($O$6:$O$25,MATCH($G289,$N$6:$N$25,0)),"Unknown dept"))</f>
        <v/>
      </c>
    </row>
    <row r="290" customFormat="false" ht="15" hidden="false" customHeight="true" outlineLevel="0" collapsed="false">
      <c r="A290" s="63"/>
      <c r="B290" s="64"/>
      <c r="C290" s="64"/>
      <c r="D290" s="63"/>
      <c r="E290" s="63"/>
      <c r="F290" s="63"/>
      <c r="G290" s="63"/>
      <c r="H290" s="63"/>
      <c r="I290" s="65" t="str">
        <f aca="false">IF(OR($B290="",$C290=""),"",$C290-$B290)</f>
        <v/>
      </c>
      <c r="J290" s="66" t="str">
        <f aca="false">IF($B290="","",IF(AND($B290&gt;=Targets!$C$7,$B290&lt;Targets!$C$8+1),"Yes","No"))</f>
        <v/>
      </c>
      <c r="K290" s="65" t="str">
        <f aca="false">IF($J290="Yes",$I290,"")</f>
        <v/>
      </c>
      <c r="L290" s="66" t="str">
        <f aca="false">IF($G290="","",IFERROR(INDEX($O$6:$O$25,MATCH($G290,$N$6:$N$25,0)),"Unknown dept"))</f>
        <v/>
      </c>
    </row>
    <row r="291" customFormat="false" ht="15" hidden="false" customHeight="true" outlineLevel="0" collapsed="false">
      <c r="A291" s="67"/>
      <c r="B291" s="68"/>
      <c r="C291" s="68"/>
      <c r="D291" s="67"/>
      <c r="E291" s="67"/>
      <c r="F291" s="67"/>
      <c r="G291" s="67"/>
      <c r="H291" s="67"/>
      <c r="I291" s="65" t="str">
        <f aca="false">IF(OR($B291="",$C291=""),"",$C291-$B291)</f>
        <v/>
      </c>
      <c r="J291" s="66" t="str">
        <f aca="false">IF($B291="","",IF(AND($B291&gt;=Targets!$C$7,$B291&lt;Targets!$C$8+1),"Yes","No"))</f>
        <v/>
      </c>
      <c r="K291" s="65" t="str">
        <f aca="false">IF($J291="Yes",$I291,"")</f>
        <v/>
      </c>
      <c r="L291" s="66" t="str">
        <f aca="false">IF($G291="","",IFERROR(INDEX($O$6:$O$25,MATCH($G291,$N$6:$N$25,0)),"Unknown dept"))</f>
        <v/>
      </c>
    </row>
    <row r="292" customFormat="false" ht="15" hidden="false" customHeight="true" outlineLevel="0" collapsed="false">
      <c r="A292" s="63"/>
      <c r="B292" s="64"/>
      <c r="C292" s="64"/>
      <c r="D292" s="63"/>
      <c r="E292" s="63"/>
      <c r="F292" s="63"/>
      <c r="G292" s="63"/>
      <c r="H292" s="63"/>
      <c r="I292" s="65" t="str">
        <f aca="false">IF(OR($B292="",$C292=""),"",$C292-$B292)</f>
        <v/>
      </c>
      <c r="J292" s="66" t="str">
        <f aca="false">IF($B292="","",IF(AND($B292&gt;=Targets!$C$7,$B292&lt;Targets!$C$8+1),"Yes","No"))</f>
        <v/>
      </c>
      <c r="K292" s="65" t="str">
        <f aca="false">IF($J292="Yes",$I292,"")</f>
        <v/>
      </c>
      <c r="L292" s="66" t="str">
        <f aca="false">IF($G292="","",IFERROR(INDEX($O$6:$O$25,MATCH($G292,$N$6:$N$25,0)),"Unknown dept"))</f>
        <v/>
      </c>
    </row>
    <row r="293" customFormat="false" ht="15" hidden="false" customHeight="true" outlineLevel="0" collapsed="false">
      <c r="A293" s="67"/>
      <c r="B293" s="68"/>
      <c r="C293" s="68"/>
      <c r="D293" s="67"/>
      <c r="E293" s="67"/>
      <c r="F293" s="67"/>
      <c r="G293" s="67"/>
      <c r="H293" s="67"/>
      <c r="I293" s="65" t="str">
        <f aca="false">IF(OR($B293="",$C293=""),"",$C293-$B293)</f>
        <v/>
      </c>
      <c r="J293" s="66" t="str">
        <f aca="false">IF($B293="","",IF(AND($B293&gt;=Targets!$C$7,$B293&lt;Targets!$C$8+1),"Yes","No"))</f>
        <v/>
      </c>
      <c r="K293" s="65" t="str">
        <f aca="false">IF($J293="Yes",$I293,"")</f>
        <v/>
      </c>
      <c r="L293" s="66" t="str">
        <f aca="false">IF($G293="","",IFERROR(INDEX($O$6:$O$25,MATCH($G293,$N$6:$N$25,0)),"Unknown dept"))</f>
        <v/>
      </c>
    </row>
    <row r="294" customFormat="false" ht="15" hidden="false" customHeight="true" outlineLevel="0" collapsed="false">
      <c r="A294" s="63"/>
      <c r="B294" s="64"/>
      <c r="C294" s="64"/>
      <c r="D294" s="63"/>
      <c r="E294" s="63"/>
      <c r="F294" s="63"/>
      <c r="G294" s="63"/>
      <c r="H294" s="63"/>
      <c r="I294" s="65" t="str">
        <f aca="false">IF(OR($B294="",$C294=""),"",$C294-$B294)</f>
        <v/>
      </c>
      <c r="J294" s="66" t="str">
        <f aca="false">IF($B294="","",IF(AND($B294&gt;=Targets!$C$7,$B294&lt;Targets!$C$8+1),"Yes","No"))</f>
        <v/>
      </c>
      <c r="K294" s="65" t="str">
        <f aca="false">IF($J294="Yes",$I294,"")</f>
        <v/>
      </c>
      <c r="L294" s="66" t="str">
        <f aca="false">IF($G294="","",IFERROR(INDEX($O$6:$O$25,MATCH($G294,$N$6:$N$25,0)),"Unknown dept"))</f>
        <v/>
      </c>
    </row>
    <row r="295" customFormat="false" ht="15" hidden="false" customHeight="true" outlineLevel="0" collapsed="false">
      <c r="A295" s="67"/>
      <c r="B295" s="68"/>
      <c r="C295" s="68"/>
      <c r="D295" s="67"/>
      <c r="E295" s="67"/>
      <c r="F295" s="67"/>
      <c r="G295" s="67"/>
      <c r="H295" s="67"/>
      <c r="I295" s="65" t="str">
        <f aca="false">IF(OR($B295="",$C295=""),"",$C295-$B295)</f>
        <v/>
      </c>
      <c r="J295" s="66" t="str">
        <f aca="false">IF($B295="","",IF(AND($B295&gt;=Targets!$C$7,$B295&lt;Targets!$C$8+1),"Yes","No"))</f>
        <v/>
      </c>
      <c r="K295" s="65" t="str">
        <f aca="false">IF($J295="Yes",$I295,"")</f>
        <v/>
      </c>
      <c r="L295" s="66" t="str">
        <f aca="false">IF($G295="","",IFERROR(INDEX($O$6:$O$25,MATCH($G295,$N$6:$N$25,0)),"Unknown dept"))</f>
        <v/>
      </c>
    </row>
    <row r="296" customFormat="false" ht="15" hidden="false" customHeight="true" outlineLevel="0" collapsed="false">
      <c r="A296" s="63"/>
      <c r="B296" s="64"/>
      <c r="C296" s="64"/>
      <c r="D296" s="63"/>
      <c r="E296" s="63"/>
      <c r="F296" s="63"/>
      <c r="G296" s="63"/>
      <c r="H296" s="63"/>
      <c r="I296" s="65" t="str">
        <f aca="false">IF(OR($B296="",$C296=""),"",$C296-$B296)</f>
        <v/>
      </c>
      <c r="J296" s="66" t="str">
        <f aca="false">IF($B296="","",IF(AND($B296&gt;=Targets!$C$7,$B296&lt;Targets!$C$8+1),"Yes","No"))</f>
        <v/>
      </c>
      <c r="K296" s="65" t="str">
        <f aca="false">IF($J296="Yes",$I296,"")</f>
        <v/>
      </c>
      <c r="L296" s="66" t="str">
        <f aca="false">IF($G296="","",IFERROR(INDEX($O$6:$O$25,MATCH($G296,$N$6:$N$25,0)),"Unknown dept"))</f>
        <v/>
      </c>
    </row>
    <row r="297" customFormat="false" ht="15" hidden="false" customHeight="true" outlineLevel="0" collapsed="false">
      <c r="A297" s="67"/>
      <c r="B297" s="68"/>
      <c r="C297" s="68"/>
      <c r="D297" s="67"/>
      <c r="E297" s="67"/>
      <c r="F297" s="67"/>
      <c r="G297" s="67"/>
      <c r="H297" s="67"/>
      <c r="I297" s="65" t="str">
        <f aca="false">IF(OR($B297="",$C297=""),"",$C297-$B297)</f>
        <v/>
      </c>
      <c r="J297" s="66" t="str">
        <f aca="false">IF($B297="","",IF(AND($B297&gt;=Targets!$C$7,$B297&lt;Targets!$C$8+1),"Yes","No"))</f>
        <v/>
      </c>
      <c r="K297" s="65" t="str">
        <f aca="false">IF($J297="Yes",$I297,"")</f>
        <v/>
      </c>
      <c r="L297" s="66" t="str">
        <f aca="false">IF($G297="","",IFERROR(INDEX($O$6:$O$25,MATCH($G297,$N$6:$N$25,0)),"Unknown dept"))</f>
        <v/>
      </c>
    </row>
    <row r="298" customFormat="false" ht="15" hidden="false" customHeight="true" outlineLevel="0" collapsed="false">
      <c r="A298" s="63"/>
      <c r="B298" s="64"/>
      <c r="C298" s="64"/>
      <c r="D298" s="63"/>
      <c r="E298" s="63"/>
      <c r="F298" s="63"/>
      <c r="G298" s="63"/>
      <c r="H298" s="63"/>
      <c r="I298" s="65" t="str">
        <f aca="false">IF(OR($B298="",$C298=""),"",$C298-$B298)</f>
        <v/>
      </c>
      <c r="J298" s="66" t="str">
        <f aca="false">IF($B298="","",IF(AND($B298&gt;=Targets!$C$7,$B298&lt;Targets!$C$8+1),"Yes","No"))</f>
        <v/>
      </c>
      <c r="K298" s="65" t="str">
        <f aca="false">IF($J298="Yes",$I298,"")</f>
        <v/>
      </c>
      <c r="L298" s="66" t="str">
        <f aca="false">IF($G298="","",IFERROR(INDEX($O$6:$O$25,MATCH($G298,$N$6:$N$25,0)),"Unknown dept"))</f>
        <v/>
      </c>
    </row>
    <row r="299" customFormat="false" ht="15" hidden="false" customHeight="true" outlineLevel="0" collapsed="false">
      <c r="A299" s="67"/>
      <c r="B299" s="68"/>
      <c r="C299" s="68"/>
      <c r="D299" s="67"/>
      <c r="E299" s="67"/>
      <c r="F299" s="67"/>
      <c r="G299" s="67"/>
      <c r="H299" s="67"/>
      <c r="I299" s="65" t="str">
        <f aca="false">IF(OR($B299="",$C299=""),"",$C299-$B299)</f>
        <v/>
      </c>
      <c r="J299" s="66" t="str">
        <f aca="false">IF($B299="","",IF(AND($B299&gt;=Targets!$C$7,$B299&lt;Targets!$C$8+1),"Yes","No"))</f>
        <v/>
      </c>
      <c r="K299" s="65" t="str">
        <f aca="false">IF($J299="Yes",$I299,"")</f>
        <v/>
      </c>
      <c r="L299" s="66" t="str">
        <f aca="false">IF($G299="","",IFERROR(INDEX($O$6:$O$25,MATCH($G299,$N$6:$N$25,0)),"Unknown dept"))</f>
        <v/>
      </c>
    </row>
    <row r="300" customFormat="false" ht="15" hidden="false" customHeight="true" outlineLevel="0" collapsed="false">
      <c r="A300" s="63"/>
      <c r="B300" s="64"/>
      <c r="C300" s="64"/>
      <c r="D300" s="63"/>
      <c r="E300" s="63"/>
      <c r="F300" s="63"/>
      <c r="G300" s="63"/>
      <c r="H300" s="63"/>
      <c r="I300" s="65" t="str">
        <f aca="false">IF(OR($B300="",$C300=""),"",$C300-$B300)</f>
        <v/>
      </c>
      <c r="J300" s="66" t="str">
        <f aca="false">IF($B300="","",IF(AND($B300&gt;=Targets!$C$7,$B300&lt;Targets!$C$8+1),"Yes","No"))</f>
        <v/>
      </c>
      <c r="K300" s="65" t="str">
        <f aca="false">IF($J300="Yes",$I300,"")</f>
        <v/>
      </c>
      <c r="L300" s="66" t="str">
        <f aca="false">IF($G300="","",IFERROR(INDEX($O$6:$O$25,MATCH($G300,$N$6:$N$25,0)),"Unknown dept"))</f>
        <v/>
      </c>
    </row>
    <row r="301" customFormat="false" ht="15" hidden="false" customHeight="true" outlineLevel="0" collapsed="false">
      <c r="A301" s="67"/>
      <c r="B301" s="68"/>
      <c r="C301" s="68"/>
      <c r="D301" s="67"/>
      <c r="E301" s="67"/>
      <c r="F301" s="67"/>
      <c r="G301" s="67"/>
      <c r="H301" s="67"/>
      <c r="I301" s="65" t="str">
        <f aca="false">IF(OR($B301="",$C301=""),"",$C301-$B301)</f>
        <v/>
      </c>
      <c r="J301" s="66" t="str">
        <f aca="false">IF($B301="","",IF(AND($B301&gt;=Targets!$C$7,$B301&lt;Targets!$C$8+1),"Yes","No"))</f>
        <v/>
      </c>
      <c r="K301" s="65" t="str">
        <f aca="false">IF($J301="Yes",$I301,"")</f>
        <v/>
      </c>
      <c r="L301" s="66" t="str">
        <f aca="false">IF($G301="","",IFERROR(INDEX($O$6:$O$25,MATCH($G301,$N$6:$N$25,0)),"Unknown dept"))</f>
        <v/>
      </c>
    </row>
    <row r="302" customFormat="false" ht="15" hidden="false" customHeight="true" outlineLevel="0" collapsed="false">
      <c r="A302" s="63"/>
      <c r="B302" s="64"/>
      <c r="C302" s="64"/>
      <c r="D302" s="63"/>
      <c r="E302" s="63"/>
      <c r="F302" s="63"/>
      <c r="G302" s="63"/>
      <c r="H302" s="63"/>
      <c r="I302" s="65" t="str">
        <f aca="false">IF(OR($B302="",$C302=""),"",$C302-$B302)</f>
        <v/>
      </c>
      <c r="J302" s="66" t="str">
        <f aca="false">IF($B302="","",IF(AND($B302&gt;=Targets!$C$7,$B302&lt;Targets!$C$8+1),"Yes","No"))</f>
        <v/>
      </c>
      <c r="K302" s="65" t="str">
        <f aca="false">IF($J302="Yes",$I302,"")</f>
        <v/>
      </c>
      <c r="L302" s="66" t="str">
        <f aca="false">IF($G302="","",IFERROR(INDEX($O$6:$O$25,MATCH($G302,$N$6:$N$25,0)),"Unknown dept"))</f>
        <v/>
      </c>
    </row>
    <row r="303" customFormat="false" ht="15" hidden="false" customHeight="true" outlineLevel="0" collapsed="false">
      <c r="A303" s="67"/>
      <c r="B303" s="68"/>
      <c r="C303" s="68"/>
      <c r="D303" s="67"/>
      <c r="E303" s="67"/>
      <c r="F303" s="67"/>
      <c r="G303" s="67"/>
      <c r="H303" s="67"/>
      <c r="I303" s="65" t="str">
        <f aca="false">IF(OR($B303="",$C303=""),"",$C303-$B303)</f>
        <v/>
      </c>
      <c r="J303" s="66" t="str">
        <f aca="false">IF($B303="","",IF(AND($B303&gt;=Targets!$C$7,$B303&lt;Targets!$C$8+1),"Yes","No"))</f>
        <v/>
      </c>
      <c r="K303" s="65" t="str">
        <f aca="false">IF($J303="Yes",$I303,"")</f>
        <v/>
      </c>
      <c r="L303" s="66" t="str">
        <f aca="false">IF($G303="","",IFERROR(INDEX($O$6:$O$25,MATCH($G303,$N$6:$N$25,0)),"Unknown dept"))</f>
        <v/>
      </c>
    </row>
    <row r="304" customFormat="false" ht="15" hidden="false" customHeight="true" outlineLevel="0" collapsed="false">
      <c r="A304" s="63"/>
      <c r="B304" s="64"/>
      <c r="C304" s="64"/>
      <c r="D304" s="63"/>
      <c r="E304" s="63"/>
      <c r="F304" s="63"/>
      <c r="G304" s="63"/>
      <c r="H304" s="63"/>
      <c r="I304" s="65" t="str">
        <f aca="false">IF(OR($B304="",$C304=""),"",$C304-$B304)</f>
        <v/>
      </c>
      <c r="J304" s="66" t="str">
        <f aca="false">IF($B304="","",IF(AND($B304&gt;=Targets!$C$7,$B304&lt;Targets!$C$8+1),"Yes","No"))</f>
        <v/>
      </c>
      <c r="K304" s="65" t="str">
        <f aca="false">IF($J304="Yes",$I304,"")</f>
        <v/>
      </c>
      <c r="L304" s="66" t="str">
        <f aca="false">IF($G304="","",IFERROR(INDEX($O$6:$O$25,MATCH($G304,$N$6:$N$25,0)),"Unknown dept"))</f>
        <v/>
      </c>
    </row>
    <row r="305" customFormat="false" ht="15" hidden="false" customHeight="true" outlineLevel="0" collapsed="false">
      <c r="A305" s="67"/>
      <c r="B305" s="68"/>
      <c r="C305" s="68"/>
      <c r="D305" s="67"/>
      <c r="E305" s="67"/>
      <c r="F305" s="67"/>
      <c r="G305" s="67"/>
      <c r="H305" s="67"/>
      <c r="I305" s="65" t="str">
        <f aca="false">IF(OR($B305="",$C305=""),"",$C305-$B305)</f>
        <v/>
      </c>
      <c r="J305" s="66" t="str">
        <f aca="false">IF($B305="","",IF(AND($B305&gt;=Targets!$C$7,$B305&lt;Targets!$C$8+1),"Yes","No"))</f>
        <v/>
      </c>
      <c r="K305" s="65" t="str">
        <f aca="false">IF($J305="Yes",$I305,"")</f>
        <v/>
      </c>
      <c r="L305" s="66" t="str">
        <f aca="false">IF($G305="","",IFERROR(INDEX($O$6:$O$25,MATCH($G305,$N$6:$N$25,0)),"Unknown dept"))</f>
        <v/>
      </c>
    </row>
    <row r="306" customFormat="false" ht="15" hidden="false" customHeight="true" outlineLevel="0" collapsed="false">
      <c r="A306" s="63"/>
      <c r="B306" s="64"/>
      <c r="C306" s="64"/>
      <c r="D306" s="63"/>
      <c r="E306" s="63"/>
      <c r="F306" s="63"/>
      <c r="G306" s="63"/>
      <c r="H306" s="63"/>
      <c r="I306" s="65" t="str">
        <f aca="false">IF(OR($B306="",$C306=""),"",$C306-$B306)</f>
        <v/>
      </c>
      <c r="J306" s="66" t="str">
        <f aca="false">IF($B306="","",IF(AND($B306&gt;=Targets!$C$7,$B306&lt;Targets!$C$8+1),"Yes","No"))</f>
        <v/>
      </c>
      <c r="K306" s="65" t="str">
        <f aca="false">IF($J306="Yes",$I306,"")</f>
        <v/>
      </c>
      <c r="L306" s="66" t="str">
        <f aca="false">IF($G306="","",IFERROR(INDEX($O$6:$O$25,MATCH($G306,$N$6:$N$25,0)),"Unknown dept"))</f>
        <v/>
      </c>
    </row>
    <row r="307" customFormat="false" ht="15" hidden="false" customHeight="true" outlineLevel="0" collapsed="false">
      <c r="A307" s="67"/>
      <c r="B307" s="68"/>
      <c r="C307" s="68"/>
      <c r="D307" s="67"/>
      <c r="E307" s="67"/>
      <c r="F307" s="67"/>
      <c r="G307" s="67"/>
      <c r="H307" s="67"/>
      <c r="I307" s="65" t="str">
        <f aca="false">IF(OR($B307="",$C307=""),"",$C307-$B307)</f>
        <v/>
      </c>
      <c r="J307" s="66" t="str">
        <f aca="false">IF($B307="","",IF(AND($B307&gt;=Targets!$C$7,$B307&lt;Targets!$C$8+1),"Yes","No"))</f>
        <v/>
      </c>
      <c r="K307" s="65" t="str">
        <f aca="false">IF($J307="Yes",$I307,"")</f>
        <v/>
      </c>
      <c r="L307" s="66" t="str">
        <f aca="false">IF($G307="","",IFERROR(INDEX($O$6:$O$25,MATCH($G307,$N$6:$N$25,0)),"Unknown dept"))</f>
        <v/>
      </c>
    </row>
    <row r="308" customFormat="false" ht="15" hidden="false" customHeight="true" outlineLevel="0" collapsed="false">
      <c r="A308" s="63"/>
      <c r="B308" s="64"/>
      <c r="C308" s="64"/>
      <c r="D308" s="63"/>
      <c r="E308" s="63"/>
      <c r="F308" s="63"/>
      <c r="G308" s="63"/>
      <c r="H308" s="63"/>
      <c r="I308" s="65" t="str">
        <f aca="false">IF(OR($B308="",$C308=""),"",$C308-$B308)</f>
        <v/>
      </c>
      <c r="J308" s="66" t="str">
        <f aca="false">IF($B308="","",IF(AND($B308&gt;=Targets!$C$7,$B308&lt;Targets!$C$8+1),"Yes","No"))</f>
        <v/>
      </c>
      <c r="K308" s="65" t="str">
        <f aca="false">IF($J308="Yes",$I308,"")</f>
        <v/>
      </c>
      <c r="L308" s="66" t="str">
        <f aca="false">IF($G308="","",IFERROR(INDEX($O$6:$O$25,MATCH($G308,$N$6:$N$25,0)),"Unknown dept"))</f>
        <v/>
      </c>
    </row>
    <row r="309" customFormat="false" ht="15" hidden="false" customHeight="true" outlineLevel="0" collapsed="false">
      <c r="A309" s="67"/>
      <c r="B309" s="68"/>
      <c r="C309" s="68"/>
      <c r="D309" s="67"/>
      <c r="E309" s="67"/>
      <c r="F309" s="67"/>
      <c r="G309" s="67"/>
      <c r="H309" s="67"/>
      <c r="I309" s="65" t="str">
        <f aca="false">IF(OR($B309="",$C309=""),"",$C309-$B309)</f>
        <v/>
      </c>
      <c r="J309" s="66" t="str">
        <f aca="false">IF($B309="","",IF(AND($B309&gt;=Targets!$C$7,$B309&lt;Targets!$C$8+1),"Yes","No"))</f>
        <v/>
      </c>
      <c r="K309" s="65" t="str">
        <f aca="false">IF($J309="Yes",$I309,"")</f>
        <v/>
      </c>
      <c r="L309" s="66" t="str">
        <f aca="false">IF($G309="","",IFERROR(INDEX($O$6:$O$25,MATCH($G309,$N$6:$N$25,0)),"Unknown dept"))</f>
        <v/>
      </c>
    </row>
    <row r="310" customFormat="false" ht="15" hidden="false" customHeight="true" outlineLevel="0" collapsed="false">
      <c r="A310" s="63"/>
      <c r="B310" s="64"/>
      <c r="C310" s="64"/>
      <c r="D310" s="63"/>
      <c r="E310" s="63"/>
      <c r="F310" s="63"/>
      <c r="G310" s="63"/>
      <c r="H310" s="63"/>
      <c r="I310" s="65" t="str">
        <f aca="false">IF(OR($B310="",$C310=""),"",$C310-$B310)</f>
        <v/>
      </c>
      <c r="J310" s="66" t="str">
        <f aca="false">IF($B310="","",IF(AND($B310&gt;=Targets!$C$7,$B310&lt;Targets!$C$8+1),"Yes","No"))</f>
        <v/>
      </c>
      <c r="K310" s="65" t="str">
        <f aca="false">IF($J310="Yes",$I310,"")</f>
        <v/>
      </c>
      <c r="L310" s="66" t="str">
        <f aca="false">IF($G310="","",IFERROR(INDEX($O$6:$O$25,MATCH($G310,$N$6:$N$25,0)),"Unknown dept"))</f>
        <v/>
      </c>
    </row>
    <row r="311" customFormat="false" ht="15" hidden="false" customHeight="true" outlineLevel="0" collapsed="false">
      <c r="A311" s="67"/>
      <c r="B311" s="68"/>
      <c r="C311" s="68"/>
      <c r="D311" s="67"/>
      <c r="E311" s="67"/>
      <c r="F311" s="67"/>
      <c r="G311" s="67"/>
      <c r="H311" s="67"/>
      <c r="I311" s="65" t="str">
        <f aca="false">IF(OR($B311="",$C311=""),"",$C311-$B311)</f>
        <v/>
      </c>
      <c r="J311" s="66" t="str">
        <f aca="false">IF($B311="","",IF(AND($B311&gt;=Targets!$C$7,$B311&lt;Targets!$C$8+1),"Yes","No"))</f>
        <v/>
      </c>
      <c r="K311" s="65" t="str">
        <f aca="false">IF($J311="Yes",$I311,"")</f>
        <v/>
      </c>
      <c r="L311" s="66" t="str">
        <f aca="false">IF($G311="","",IFERROR(INDEX($O$6:$O$25,MATCH($G311,$N$6:$N$25,0)),"Unknown dept"))</f>
        <v/>
      </c>
    </row>
    <row r="312" customFormat="false" ht="15" hidden="false" customHeight="true" outlineLevel="0" collapsed="false">
      <c r="A312" s="63"/>
      <c r="B312" s="64"/>
      <c r="C312" s="64"/>
      <c r="D312" s="63"/>
      <c r="E312" s="63"/>
      <c r="F312" s="63"/>
      <c r="G312" s="63"/>
      <c r="H312" s="63"/>
      <c r="I312" s="65" t="str">
        <f aca="false">IF(OR($B312="",$C312=""),"",$C312-$B312)</f>
        <v/>
      </c>
      <c r="J312" s="66" t="str">
        <f aca="false">IF($B312="","",IF(AND($B312&gt;=Targets!$C$7,$B312&lt;Targets!$C$8+1),"Yes","No"))</f>
        <v/>
      </c>
      <c r="K312" s="65" t="str">
        <f aca="false">IF($J312="Yes",$I312,"")</f>
        <v/>
      </c>
      <c r="L312" s="66" t="str">
        <f aca="false">IF($G312="","",IFERROR(INDEX($O$6:$O$25,MATCH($G312,$N$6:$N$25,0)),"Unknown dept"))</f>
        <v/>
      </c>
    </row>
    <row r="313" customFormat="false" ht="15" hidden="false" customHeight="true" outlineLevel="0" collapsed="false">
      <c r="A313" s="67"/>
      <c r="B313" s="68"/>
      <c r="C313" s="68"/>
      <c r="D313" s="67"/>
      <c r="E313" s="67"/>
      <c r="F313" s="67"/>
      <c r="G313" s="67"/>
      <c r="H313" s="67"/>
      <c r="I313" s="65" t="str">
        <f aca="false">IF(OR($B313="",$C313=""),"",$C313-$B313)</f>
        <v/>
      </c>
      <c r="J313" s="66" t="str">
        <f aca="false">IF($B313="","",IF(AND($B313&gt;=Targets!$C$7,$B313&lt;Targets!$C$8+1),"Yes","No"))</f>
        <v/>
      </c>
      <c r="K313" s="65" t="str">
        <f aca="false">IF($J313="Yes",$I313,"")</f>
        <v/>
      </c>
      <c r="L313" s="66" t="str">
        <f aca="false">IF($G313="","",IFERROR(INDEX($O$6:$O$25,MATCH($G313,$N$6:$N$25,0)),"Unknown dept"))</f>
        <v/>
      </c>
    </row>
    <row r="314" customFormat="false" ht="15" hidden="false" customHeight="true" outlineLevel="0" collapsed="false">
      <c r="A314" s="63"/>
      <c r="B314" s="64"/>
      <c r="C314" s="64"/>
      <c r="D314" s="63"/>
      <c r="E314" s="63"/>
      <c r="F314" s="63"/>
      <c r="G314" s="63"/>
      <c r="H314" s="63"/>
      <c r="I314" s="65" t="str">
        <f aca="false">IF(OR($B314="",$C314=""),"",$C314-$B314)</f>
        <v/>
      </c>
      <c r="J314" s="66" t="str">
        <f aca="false">IF($B314="","",IF(AND($B314&gt;=Targets!$C$7,$B314&lt;Targets!$C$8+1),"Yes","No"))</f>
        <v/>
      </c>
      <c r="K314" s="65" t="str">
        <f aca="false">IF($J314="Yes",$I314,"")</f>
        <v/>
      </c>
      <c r="L314" s="66" t="str">
        <f aca="false">IF($G314="","",IFERROR(INDEX($O$6:$O$25,MATCH($G314,$N$6:$N$25,0)),"Unknown dept"))</f>
        <v/>
      </c>
    </row>
    <row r="315" customFormat="false" ht="15" hidden="false" customHeight="true" outlineLevel="0" collapsed="false">
      <c r="A315" s="67"/>
      <c r="B315" s="68"/>
      <c r="C315" s="68"/>
      <c r="D315" s="67"/>
      <c r="E315" s="67"/>
      <c r="F315" s="67"/>
      <c r="G315" s="67"/>
      <c r="H315" s="67"/>
      <c r="I315" s="65" t="str">
        <f aca="false">IF(OR($B315="",$C315=""),"",$C315-$B315)</f>
        <v/>
      </c>
      <c r="J315" s="66" t="str">
        <f aca="false">IF($B315="","",IF(AND($B315&gt;=Targets!$C$7,$B315&lt;Targets!$C$8+1),"Yes","No"))</f>
        <v/>
      </c>
      <c r="K315" s="65" t="str">
        <f aca="false">IF($J315="Yes",$I315,"")</f>
        <v/>
      </c>
      <c r="L315" s="66" t="str">
        <f aca="false">IF($G315="","",IFERROR(INDEX($O$6:$O$25,MATCH($G315,$N$6:$N$25,0)),"Unknown dept"))</f>
        <v/>
      </c>
    </row>
    <row r="316" customFormat="false" ht="15" hidden="false" customHeight="true" outlineLevel="0" collapsed="false">
      <c r="A316" s="63"/>
      <c r="B316" s="64"/>
      <c r="C316" s="64"/>
      <c r="D316" s="63"/>
      <c r="E316" s="63"/>
      <c r="F316" s="63"/>
      <c r="G316" s="63"/>
      <c r="H316" s="63"/>
      <c r="I316" s="65" t="str">
        <f aca="false">IF(OR($B316="",$C316=""),"",$C316-$B316)</f>
        <v/>
      </c>
      <c r="J316" s="66" t="str">
        <f aca="false">IF($B316="","",IF(AND($B316&gt;=Targets!$C$7,$B316&lt;Targets!$C$8+1),"Yes","No"))</f>
        <v/>
      </c>
      <c r="K316" s="65" t="str">
        <f aca="false">IF($J316="Yes",$I316,"")</f>
        <v/>
      </c>
      <c r="L316" s="66" t="str">
        <f aca="false">IF($G316="","",IFERROR(INDEX($O$6:$O$25,MATCH($G316,$N$6:$N$25,0)),"Unknown dept"))</f>
        <v/>
      </c>
    </row>
    <row r="317" customFormat="false" ht="15" hidden="false" customHeight="true" outlineLevel="0" collapsed="false">
      <c r="A317" s="67"/>
      <c r="B317" s="68"/>
      <c r="C317" s="68"/>
      <c r="D317" s="67"/>
      <c r="E317" s="67"/>
      <c r="F317" s="67"/>
      <c r="G317" s="67"/>
      <c r="H317" s="67"/>
      <c r="I317" s="65" t="str">
        <f aca="false">IF(OR($B317="",$C317=""),"",$C317-$B317)</f>
        <v/>
      </c>
      <c r="J317" s="66" t="str">
        <f aca="false">IF($B317="","",IF(AND($B317&gt;=Targets!$C$7,$B317&lt;Targets!$C$8+1),"Yes","No"))</f>
        <v/>
      </c>
      <c r="K317" s="65" t="str">
        <f aca="false">IF($J317="Yes",$I317,"")</f>
        <v/>
      </c>
      <c r="L317" s="66" t="str">
        <f aca="false">IF($G317="","",IFERROR(INDEX($O$6:$O$25,MATCH($G317,$N$6:$N$25,0)),"Unknown dept"))</f>
        <v/>
      </c>
    </row>
    <row r="318" customFormat="false" ht="15" hidden="false" customHeight="true" outlineLevel="0" collapsed="false">
      <c r="A318" s="63"/>
      <c r="B318" s="64"/>
      <c r="C318" s="64"/>
      <c r="D318" s="63"/>
      <c r="E318" s="63"/>
      <c r="F318" s="63"/>
      <c r="G318" s="63"/>
      <c r="H318" s="63"/>
      <c r="I318" s="65" t="str">
        <f aca="false">IF(OR($B318="",$C318=""),"",$C318-$B318)</f>
        <v/>
      </c>
      <c r="J318" s="66" t="str">
        <f aca="false">IF($B318="","",IF(AND($B318&gt;=Targets!$C$7,$B318&lt;Targets!$C$8+1),"Yes","No"))</f>
        <v/>
      </c>
      <c r="K318" s="65" t="str">
        <f aca="false">IF($J318="Yes",$I318,"")</f>
        <v/>
      </c>
      <c r="L318" s="66" t="str">
        <f aca="false">IF($G318="","",IFERROR(INDEX($O$6:$O$25,MATCH($G318,$N$6:$N$25,0)),"Unknown dept"))</f>
        <v/>
      </c>
    </row>
    <row r="319" customFormat="false" ht="15" hidden="false" customHeight="true" outlineLevel="0" collapsed="false">
      <c r="A319" s="67"/>
      <c r="B319" s="68"/>
      <c r="C319" s="68"/>
      <c r="D319" s="67"/>
      <c r="E319" s="67"/>
      <c r="F319" s="67"/>
      <c r="G319" s="67"/>
      <c r="H319" s="67"/>
      <c r="I319" s="65" t="str">
        <f aca="false">IF(OR($B319="",$C319=""),"",$C319-$B319)</f>
        <v/>
      </c>
      <c r="J319" s="66" t="str">
        <f aca="false">IF($B319="","",IF(AND($B319&gt;=Targets!$C$7,$B319&lt;Targets!$C$8+1),"Yes","No"))</f>
        <v/>
      </c>
      <c r="K319" s="65" t="str">
        <f aca="false">IF($J319="Yes",$I319,"")</f>
        <v/>
      </c>
      <c r="L319" s="66" t="str">
        <f aca="false">IF($G319="","",IFERROR(INDEX($O$6:$O$25,MATCH($G319,$N$6:$N$25,0)),"Unknown dept"))</f>
        <v/>
      </c>
    </row>
    <row r="320" customFormat="false" ht="15" hidden="false" customHeight="true" outlineLevel="0" collapsed="false">
      <c r="A320" s="63"/>
      <c r="B320" s="64"/>
      <c r="C320" s="64"/>
      <c r="D320" s="63"/>
      <c r="E320" s="63"/>
      <c r="F320" s="63"/>
      <c r="G320" s="63"/>
      <c r="H320" s="63"/>
      <c r="I320" s="65" t="str">
        <f aca="false">IF(OR($B320="",$C320=""),"",$C320-$B320)</f>
        <v/>
      </c>
      <c r="J320" s="66" t="str">
        <f aca="false">IF($B320="","",IF(AND($B320&gt;=Targets!$C$7,$B320&lt;Targets!$C$8+1),"Yes","No"))</f>
        <v/>
      </c>
      <c r="K320" s="65" t="str">
        <f aca="false">IF($J320="Yes",$I320,"")</f>
        <v/>
      </c>
      <c r="L320" s="66" t="str">
        <f aca="false">IF($G320="","",IFERROR(INDEX($O$6:$O$25,MATCH($G320,$N$6:$N$25,0)),"Unknown dept"))</f>
        <v/>
      </c>
    </row>
    <row r="321" customFormat="false" ht="15" hidden="false" customHeight="true" outlineLevel="0" collapsed="false">
      <c r="A321" s="67"/>
      <c r="B321" s="68"/>
      <c r="C321" s="68"/>
      <c r="D321" s="67"/>
      <c r="E321" s="67"/>
      <c r="F321" s="67"/>
      <c r="G321" s="67"/>
      <c r="H321" s="67"/>
      <c r="I321" s="65" t="str">
        <f aca="false">IF(OR($B321="",$C321=""),"",$C321-$B321)</f>
        <v/>
      </c>
      <c r="J321" s="66" t="str">
        <f aca="false">IF($B321="","",IF(AND($B321&gt;=Targets!$C$7,$B321&lt;Targets!$C$8+1),"Yes","No"))</f>
        <v/>
      </c>
      <c r="K321" s="65" t="str">
        <f aca="false">IF($J321="Yes",$I321,"")</f>
        <v/>
      </c>
      <c r="L321" s="66" t="str">
        <f aca="false">IF($G321="","",IFERROR(INDEX($O$6:$O$25,MATCH($G321,$N$6:$N$25,0)),"Unknown dept"))</f>
        <v/>
      </c>
    </row>
    <row r="322" customFormat="false" ht="15" hidden="false" customHeight="true" outlineLevel="0" collapsed="false">
      <c r="A322" s="63"/>
      <c r="B322" s="64"/>
      <c r="C322" s="64"/>
      <c r="D322" s="63"/>
      <c r="E322" s="63"/>
      <c r="F322" s="63"/>
      <c r="G322" s="63"/>
      <c r="H322" s="63"/>
      <c r="I322" s="65" t="str">
        <f aca="false">IF(OR($B322="",$C322=""),"",$C322-$B322)</f>
        <v/>
      </c>
      <c r="J322" s="66" t="str">
        <f aca="false">IF($B322="","",IF(AND($B322&gt;=Targets!$C$7,$B322&lt;Targets!$C$8+1),"Yes","No"))</f>
        <v/>
      </c>
      <c r="K322" s="65" t="str">
        <f aca="false">IF($J322="Yes",$I322,"")</f>
        <v/>
      </c>
      <c r="L322" s="66" t="str">
        <f aca="false">IF($G322="","",IFERROR(INDEX($O$6:$O$25,MATCH($G322,$N$6:$N$25,0)),"Unknown dept"))</f>
        <v/>
      </c>
    </row>
    <row r="323" customFormat="false" ht="15" hidden="false" customHeight="true" outlineLevel="0" collapsed="false">
      <c r="A323" s="67"/>
      <c r="B323" s="68"/>
      <c r="C323" s="68"/>
      <c r="D323" s="67"/>
      <c r="E323" s="67"/>
      <c r="F323" s="67"/>
      <c r="G323" s="67"/>
      <c r="H323" s="67"/>
      <c r="I323" s="65" t="str">
        <f aca="false">IF(OR($B323="",$C323=""),"",$C323-$B323)</f>
        <v/>
      </c>
      <c r="J323" s="66" t="str">
        <f aca="false">IF($B323="","",IF(AND($B323&gt;=Targets!$C$7,$B323&lt;Targets!$C$8+1),"Yes","No"))</f>
        <v/>
      </c>
      <c r="K323" s="65" t="str">
        <f aca="false">IF($J323="Yes",$I323,"")</f>
        <v/>
      </c>
      <c r="L323" s="66" t="str">
        <f aca="false">IF($G323="","",IFERROR(INDEX($O$6:$O$25,MATCH($G323,$N$6:$N$25,0)),"Unknown dept"))</f>
        <v/>
      </c>
    </row>
    <row r="324" customFormat="false" ht="15" hidden="false" customHeight="true" outlineLevel="0" collapsed="false">
      <c r="A324" s="63"/>
      <c r="B324" s="64"/>
      <c r="C324" s="64"/>
      <c r="D324" s="63"/>
      <c r="E324" s="63"/>
      <c r="F324" s="63"/>
      <c r="G324" s="63"/>
      <c r="H324" s="63"/>
      <c r="I324" s="65" t="str">
        <f aca="false">IF(OR($B324="",$C324=""),"",$C324-$B324)</f>
        <v/>
      </c>
      <c r="J324" s="66" t="str">
        <f aca="false">IF($B324="","",IF(AND($B324&gt;=Targets!$C$7,$B324&lt;Targets!$C$8+1),"Yes","No"))</f>
        <v/>
      </c>
      <c r="K324" s="65" t="str">
        <f aca="false">IF($J324="Yes",$I324,"")</f>
        <v/>
      </c>
      <c r="L324" s="66" t="str">
        <f aca="false">IF($G324="","",IFERROR(INDEX($O$6:$O$25,MATCH($G324,$N$6:$N$25,0)),"Unknown dept"))</f>
        <v/>
      </c>
    </row>
    <row r="325" customFormat="false" ht="15" hidden="false" customHeight="true" outlineLevel="0" collapsed="false">
      <c r="A325" s="67"/>
      <c r="B325" s="68"/>
      <c r="C325" s="68"/>
      <c r="D325" s="67"/>
      <c r="E325" s="67"/>
      <c r="F325" s="67"/>
      <c r="G325" s="67"/>
      <c r="H325" s="67"/>
      <c r="I325" s="65" t="str">
        <f aca="false">IF(OR($B325="",$C325=""),"",$C325-$B325)</f>
        <v/>
      </c>
      <c r="J325" s="66" t="str">
        <f aca="false">IF($B325="","",IF(AND($B325&gt;=Targets!$C$7,$B325&lt;Targets!$C$8+1),"Yes","No"))</f>
        <v/>
      </c>
      <c r="K325" s="65" t="str">
        <f aca="false">IF($J325="Yes",$I325,"")</f>
        <v/>
      </c>
      <c r="L325" s="66" t="str">
        <f aca="false">IF($G325="","",IFERROR(INDEX($O$6:$O$25,MATCH($G325,$N$6:$N$25,0)),"Unknown dept"))</f>
        <v/>
      </c>
    </row>
    <row r="326" customFormat="false" ht="15" hidden="false" customHeight="true" outlineLevel="0" collapsed="false">
      <c r="A326" s="63"/>
      <c r="B326" s="64"/>
      <c r="C326" s="64"/>
      <c r="D326" s="63"/>
      <c r="E326" s="63"/>
      <c r="F326" s="63"/>
      <c r="G326" s="63"/>
      <c r="H326" s="63"/>
      <c r="I326" s="65" t="str">
        <f aca="false">IF(OR($B326="",$C326=""),"",$C326-$B326)</f>
        <v/>
      </c>
      <c r="J326" s="66" t="str">
        <f aca="false">IF($B326="","",IF(AND($B326&gt;=Targets!$C$7,$B326&lt;Targets!$C$8+1),"Yes","No"))</f>
        <v/>
      </c>
      <c r="K326" s="65" t="str">
        <f aca="false">IF($J326="Yes",$I326,"")</f>
        <v/>
      </c>
      <c r="L326" s="66" t="str">
        <f aca="false">IF($G326="","",IFERROR(INDEX($O$6:$O$25,MATCH($G326,$N$6:$N$25,0)),"Unknown dept"))</f>
        <v/>
      </c>
    </row>
    <row r="327" customFormat="false" ht="15" hidden="false" customHeight="true" outlineLevel="0" collapsed="false">
      <c r="A327" s="67"/>
      <c r="B327" s="68"/>
      <c r="C327" s="68"/>
      <c r="D327" s="67"/>
      <c r="E327" s="67"/>
      <c r="F327" s="67"/>
      <c r="G327" s="67"/>
      <c r="H327" s="67"/>
      <c r="I327" s="65" t="str">
        <f aca="false">IF(OR($B327="",$C327=""),"",$C327-$B327)</f>
        <v/>
      </c>
      <c r="J327" s="66" t="str">
        <f aca="false">IF($B327="","",IF(AND($B327&gt;=Targets!$C$7,$B327&lt;Targets!$C$8+1),"Yes","No"))</f>
        <v/>
      </c>
      <c r="K327" s="65" t="str">
        <f aca="false">IF($J327="Yes",$I327,"")</f>
        <v/>
      </c>
      <c r="L327" s="66" t="str">
        <f aca="false">IF($G327="","",IFERROR(INDEX($O$6:$O$25,MATCH($G327,$N$6:$N$25,0)),"Unknown dept"))</f>
        <v/>
      </c>
    </row>
    <row r="328" customFormat="false" ht="15" hidden="false" customHeight="true" outlineLevel="0" collapsed="false">
      <c r="A328" s="63"/>
      <c r="B328" s="64"/>
      <c r="C328" s="64"/>
      <c r="D328" s="63"/>
      <c r="E328" s="63"/>
      <c r="F328" s="63"/>
      <c r="G328" s="63"/>
      <c r="H328" s="63"/>
      <c r="I328" s="65" t="str">
        <f aca="false">IF(OR($B328="",$C328=""),"",$C328-$B328)</f>
        <v/>
      </c>
      <c r="J328" s="66" t="str">
        <f aca="false">IF($B328="","",IF(AND($B328&gt;=Targets!$C$7,$B328&lt;Targets!$C$8+1),"Yes","No"))</f>
        <v/>
      </c>
      <c r="K328" s="65" t="str">
        <f aca="false">IF($J328="Yes",$I328,"")</f>
        <v/>
      </c>
      <c r="L328" s="66" t="str">
        <f aca="false">IF($G328="","",IFERROR(INDEX($O$6:$O$25,MATCH($G328,$N$6:$N$25,0)),"Unknown dept"))</f>
        <v/>
      </c>
    </row>
    <row r="329" customFormat="false" ht="15" hidden="false" customHeight="true" outlineLevel="0" collapsed="false">
      <c r="A329" s="67"/>
      <c r="B329" s="68"/>
      <c r="C329" s="68"/>
      <c r="D329" s="67"/>
      <c r="E329" s="67"/>
      <c r="F329" s="67"/>
      <c r="G329" s="67"/>
      <c r="H329" s="67"/>
      <c r="I329" s="65" t="str">
        <f aca="false">IF(OR($B329="",$C329=""),"",$C329-$B329)</f>
        <v/>
      </c>
      <c r="J329" s="66" t="str">
        <f aca="false">IF($B329="","",IF(AND($B329&gt;=Targets!$C$7,$B329&lt;Targets!$C$8+1),"Yes","No"))</f>
        <v/>
      </c>
      <c r="K329" s="65" t="str">
        <f aca="false">IF($J329="Yes",$I329,"")</f>
        <v/>
      </c>
      <c r="L329" s="66" t="str">
        <f aca="false">IF($G329="","",IFERROR(INDEX($O$6:$O$25,MATCH($G329,$N$6:$N$25,0)),"Unknown dept"))</f>
        <v/>
      </c>
    </row>
    <row r="330" customFormat="false" ht="15" hidden="false" customHeight="true" outlineLevel="0" collapsed="false">
      <c r="A330" s="63"/>
      <c r="B330" s="64"/>
      <c r="C330" s="64"/>
      <c r="D330" s="63"/>
      <c r="E330" s="63"/>
      <c r="F330" s="63"/>
      <c r="G330" s="63"/>
      <c r="H330" s="63"/>
      <c r="I330" s="65" t="str">
        <f aca="false">IF(OR($B330="",$C330=""),"",$C330-$B330)</f>
        <v/>
      </c>
      <c r="J330" s="66" t="str">
        <f aca="false">IF($B330="","",IF(AND($B330&gt;=Targets!$C$7,$B330&lt;Targets!$C$8+1),"Yes","No"))</f>
        <v/>
      </c>
      <c r="K330" s="65" t="str">
        <f aca="false">IF($J330="Yes",$I330,"")</f>
        <v/>
      </c>
      <c r="L330" s="66" t="str">
        <f aca="false">IF($G330="","",IFERROR(INDEX($O$6:$O$25,MATCH($G330,$N$6:$N$25,0)),"Unknown dept"))</f>
        <v/>
      </c>
    </row>
    <row r="331" customFormat="false" ht="15" hidden="false" customHeight="true" outlineLevel="0" collapsed="false">
      <c r="A331" s="67"/>
      <c r="B331" s="68"/>
      <c r="C331" s="68"/>
      <c r="D331" s="67"/>
      <c r="E331" s="67"/>
      <c r="F331" s="67"/>
      <c r="G331" s="67"/>
      <c r="H331" s="67"/>
      <c r="I331" s="65" t="str">
        <f aca="false">IF(OR($B331="",$C331=""),"",$C331-$B331)</f>
        <v/>
      </c>
      <c r="J331" s="66" t="str">
        <f aca="false">IF($B331="","",IF(AND($B331&gt;=Targets!$C$7,$B331&lt;Targets!$C$8+1),"Yes","No"))</f>
        <v/>
      </c>
      <c r="K331" s="65" t="str">
        <f aca="false">IF($J331="Yes",$I331,"")</f>
        <v/>
      </c>
      <c r="L331" s="66" t="str">
        <f aca="false">IF($G331="","",IFERROR(INDEX($O$6:$O$25,MATCH($G331,$N$6:$N$25,0)),"Unknown dept"))</f>
        <v/>
      </c>
    </row>
    <row r="332" customFormat="false" ht="15" hidden="false" customHeight="true" outlineLevel="0" collapsed="false">
      <c r="A332" s="63"/>
      <c r="B332" s="64"/>
      <c r="C332" s="64"/>
      <c r="D332" s="63"/>
      <c r="E332" s="63"/>
      <c r="F332" s="63"/>
      <c r="G332" s="63"/>
      <c r="H332" s="63"/>
      <c r="I332" s="65" t="str">
        <f aca="false">IF(OR($B332="",$C332=""),"",$C332-$B332)</f>
        <v/>
      </c>
      <c r="J332" s="66" t="str">
        <f aca="false">IF($B332="","",IF(AND($B332&gt;=Targets!$C$7,$B332&lt;Targets!$C$8+1),"Yes","No"))</f>
        <v/>
      </c>
      <c r="K332" s="65" t="str">
        <f aca="false">IF($J332="Yes",$I332,"")</f>
        <v/>
      </c>
      <c r="L332" s="66" t="str">
        <f aca="false">IF($G332="","",IFERROR(INDEX($O$6:$O$25,MATCH($G332,$N$6:$N$25,0)),"Unknown dept"))</f>
        <v/>
      </c>
    </row>
    <row r="333" customFormat="false" ht="15" hidden="false" customHeight="true" outlineLevel="0" collapsed="false">
      <c r="A333" s="67"/>
      <c r="B333" s="68"/>
      <c r="C333" s="68"/>
      <c r="D333" s="67"/>
      <c r="E333" s="67"/>
      <c r="F333" s="67"/>
      <c r="G333" s="67"/>
      <c r="H333" s="67"/>
      <c r="I333" s="65" t="str">
        <f aca="false">IF(OR($B333="",$C333=""),"",$C333-$B333)</f>
        <v/>
      </c>
      <c r="J333" s="66" t="str">
        <f aca="false">IF($B333="","",IF(AND($B333&gt;=Targets!$C$7,$B333&lt;Targets!$C$8+1),"Yes","No"))</f>
        <v/>
      </c>
      <c r="K333" s="65" t="str">
        <f aca="false">IF($J333="Yes",$I333,"")</f>
        <v/>
      </c>
      <c r="L333" s="66" t="str">
        <f aca="false">IF($G333="","",IFERROR(INDEX($O$6:$O$25,MATCH($G333,$N$6:$N$25,0)),"Unknown dept"))</f>
        <v/>
      </c>
    </row>
    <row r="334" customFormat="false" ht="15" hidden="false" customHeight="true" outlineLevel="0" collapsed="false">
      <c r="A334" s="63"/>
      <c r="B334" s="64"/>
      <c r="C334" s="64"/>
      <c r="D334" s="63"/>
      <c r="E334" s="63"/>
      <c r="F334" s="63"/>
      <c r="G334" s="63"/>
      <c r="H334" s="63"/>
      <c r="I334" s="65" t="str">
        <f aca="false">IF(OR($B334="",$C334=""),"",$C334-$B334)</f>
        <v/>
      </c>
      <c r="J334" s="66" t="str">
        <f aca="false">IF($B334="","",IF(AND($B334&gt;=Targets!$C$7,$B334&lt;Targets!$C$8+1),"Yes","No"))</f>
        <v/>
      </c>
      <c r="K334" s="65" t="str">
        <f aca="false">IF($J334="Yes",$I334,"")</f>
        <v/>
      </c>
      <c r="L334" s="66" t="str">
        <f aca="false">IF($G334="","",IFERROR(INDEX($O$6:$O$25,MATCH($G334,$N$6:$N$25,0)),"Unknown dept"))</f>
        <v/>
      </c>
    </row>
    <row r="335" customFormat="false" ht="15" hidden="false" customHeight="true" outlineLevel="0" collapsed="false">
      <c r="A335" s="67"/>
      <c r="B335" s="68"/>
      <c r="C335" s="68"/>
      <c r="D335" s="67"/>
      <c r="E335" s="67"/>
      <c r="F335" s="67"/>
      <c r="G335" s="67"/>
      <c r="H335" s="67"/>
      <c r="I335" s="65" t="str">
        <f aca="false">IF(OR($B335="",$C335=""),"",$C335-$B335)</f>
        <v/>
      </c>
      <c r="J335" s="66" t="str">
        <f aca="false">IF($B335="","",IF(AND($B335&gt;=Targets!$C$7,$B335&lt;Targets!$C$8+1),"Yes","No"))</f>
        <v/>
      </c>
      <c r="K335" s="65" t="str">
        <f aca="false">IF($J335="Yes",$I335,"")</f>
        <v/>
      </c>
      <c r="L335" s="66" t="str">
        <f aca="false">IF($G335="","",IFERROR(INDEX($O$6:$O$25,MATCH($G335,$N$6:$N$25,0)),"Unknown dept"))</f>
        <v/>
      </c>
    </row>
    <row r="336" customFormat="false" ht="15" hidden="false" customHeight="true" outlineLevel="0" collapsed="false">
      <c r="A336" s="63"/>
      <c r="B336" s="64"/>
      <c r="C336" s="64"/>
      <c r="D336" s="63"/>
      <c r="E336" s="63"/>
      <c r="F336" s="63"/>
      <c r="G336" s="63"/>
      <c r="H336" s="63"/>
      <c r="I336" s="65" t="str">
        <f aca="false">IF(OR($B336="",$C336=""),"",$C336-$B336)</f>
        <v/>
      </c>
      <c r="J336" s="66" t="str">
        <f aca="false">IF($B336="","",IF(AND($B336&gt;=Targets!$C$7,$B336&lt;Targets!$C$8+1),"Yes","No"))</f>
        <v/>
      </c>
      <c r="K336" s="65" t="str">
        <f aca="false">IF($J336="Yes",$I336,"")</f>
        <v/>
      </c>
      <c r="L336" s="66" t="str">
        <f aca="false">IF($G336="","",IFERROR(INDEX($O$6:$O$25,MATCH($G336,$N$6:$N$25,0)),"Unknown dept"))</f>
        <v/>
      </c>
    </row>
    <row r="337" customFormat="false" ht="15" hidden="false" customHeight="true" outlineLevel="0" collapsed="false">
      <c r="A337" s="67"/>
      <c r="B337" s="68"/>
      <c r="C337" s="68"/>
      <c r="D337" s="67"/>
      <c r="E337" s="67"/>
      <c r="F337" s="67"/>
      <c r="G337" s="67"/>
      <c r="H337" s="67"/>
      <c r="I337" s="65" t="str">
        <f aca="false">IF(OR($B337="",$C337=""),"",$C337-$B337)</f>
        <v/>
      </c>
      <c r="J337" s="66" t="str">
        <f aca="false">IF($B337="","",IF(AND($B337&gt;=Targets!$C$7,$B337&lt;Targets!$C$8+1),"Yes","No"))</f>
        <v/>
      </c>
      <c r="K337" s="65" t="str">
        <f aca="false">IF($J337="Yes",$I337,"")</f>
        <v/>
      </c>
      <c r="L337" s="66" t="str">
        <f aca="false">IF($G337="","",IFERROR(INDEX($O$6:$O$25,MATCH($G337,$N$6:$N$25,0)),"Unknown dept"))</f>
        <v/>
      </c>
    </row>
    <row r="338" customFormat="false" ht="15" hidden="false" customHeight="true" outlineLevel="0" collapsed="false">
      <c r="A338" s="63"/>
      <c r="B338" s="64"/>
      <c r="C338" s="64"/>
      <c r="D338" s="63"/>
      <c r="E338" s="63"/>
      <c r="F338" s="63"/>
      <c r="G338" s="63"/>
      <c r="H338" s="63"/>
      <c r="I338" s="65" t="str">
        <f aca="false">IF(OR($B338="",$C338=""),"",$C338-$B338)</f>
        <v/>
      </c>
      <c r="J338" s="66" t="str">
        <f aca="false">IF($B338="","",IF(AND($B338&gt;=Targets!$C$7,$B338&lt;Targets!$C$8+1),"Yes","No"))</f>
        <v/>
      </c>
      <c r="K338" s="65" t="str">
        <f aca="false">IF($J338="Yes",$I338,"")</f>
        <v/>
      </c>
      <c r="L338" s="66" t="str">
        <f aca="false">IF($G338="","",IFERROR(INDEX($O$6:$O$25,MATCH($G338,$N$6:$N$25,0)),"Unknown dept"))</f>
        <v/>
      </c>
    </row>
    <row r="339" customFormat="false" ht="15" hidden="false" customHeight="true" outlineLevel="0" collapsed="false">
      <c r="A339" s="67"/>
      <c r="B339" s="68"/>
      <c r="C339" s="68"/>
      <c r="D339" s="67"/>
      <c r="E339" s="67"/>
      <c r="F339" s="67"/>
      <c r="G339" s="67"/>
      <c r="H339" s="67"/>
      <c r="I339" s="65" t="str">
        <f aca="false">IF(OR($B339="",$C339=""),"",$C339-$B339)</f>
        <v/>
      </c>
      <c r="J339" s="66" t="str">
        <f aca="false">IF($B339="","",IF(AND($B339&gt;=Targets!$C$7,$B339&lt;Targets!$C$8+1),"Yes","No"))</f>
        <v/>
      </c>
      <c r="K339" s="65" t="str">
        <f aca="false">IF($J339="Yes",$I339,"")</f>
        <v/>
      </c>
      <c r="L339" s="66" t="str">
        <f aca="false">IF($G339="","",IFERROR(INDEX($O$6:$O$25,MATCH($G339,$N$6:$N$25,0)),"Unknown dept"))</f>
        <v/>
      </c>
    </row>
    <row r="340" customFormat="false" ht="15" hidden="false" customHeight="true" outlineLevel="0" collapsed="false">
      <c r="A340" s="63"/>
      <c r="B340" s="64"/>
      <c r="C340" s="64"/>
      <c r="D340" s="63"/>
      <c r="E340" s="63"/>
      <c r="F340" s="63"/>
      <c r="G340" s="63"/>
      <c r="H340" s="63"/>
      <c r="I340" s="65" t="str">
        <f aca="false">IF(OR($B340="",$C340=""),"",$C340-$B340)</f>
        <v/>
      </c>
      <c r="J340" s="66" t="str">
        <f aca="false">IF($B340="","",IF(AND($B340&gt;=Targets!$C$7,$B340&lt;Targets!$C$8+1),"Yes","No"))</f>
        <v/>
      </c>
      <c r="K340" s="65" t="str">
        <f aca="false">IF($J340="Yes",$I340,"")</f>
        <v/>
      </c>
      <c r="L340" s="66" t="str">
        <f aca="false">IF($G340="","",IFERROR(INDEX($O$6:$O$25,MATCH($G340,$N$6:$N$25,0)),"Unknown dept"))</f>
        <v/>
      </c>
    </row>
    <row r="341" customFormat="false" ht="15" hidden="false" customHeight="true" outlineLevel="0" collapsed="false">
      <c r="A341" s="67"/>
      <c r="B341" s="68"/>
      <c r="C341" s="68"/>
      <c r="D341" s="67"/>
      <c r="E341" s="67"/>
      <c r="F341" s="67"/>
      <c r="G341" s="67"/>
      <c r="H341" s="67"/>
      <c r="I341" s="65" t="str">
        <f aca="false">IF(OR($B341="",$C341=""),"",$C341-$B341)</f>
        <v/>
      </c>
      <c r="J341" s="66" t="str">
        <f aca="false">IF($B341="","",IF(AND($B341&gt;=Targets!$C$7,$B341&lt;Targets!$C$8+1),"Yes","No"))</f>
        <v/>
      </c>
      <c r="K341" s="65" t="str">
        <f aca="false">IF($J341="Yes",$I341,"")</f>
        <v/>
      </c>
      <c r="L341" s="66" t="str">
        <f aca="false">IF($G341="","",IFERROR(INDEX($O$6:$O$25,MATCH($G341,$N$6:$N$25,0)),"Unknown dept"))</f>
        <v/>
      </c>
    </row>
    <row r="342" customFormat="false" ht="15" hidden="false" customHeight="true" outlineLevel="0" collapsed="false">
      <c r="A342" s="63"/>
      <c r="B342" s="64"/>
      <c r="C342" s="64"/>
      <c r="D342" s="63"/>
      <c r="E342" s="63"/>
      <c r="F342" s="63"/>
      <c r="G342" s="63"/>
      <c r="H342" s="63"/>
      <c r="I342" s="65" t="str">
        <f aca="false">IF(OR($B342="",$C342=""),"",$C342-$B342)</f>
        <v/>
      </c>
      <c r="J342" s="66" t="str">
        <f aca="false">IF($B342="","",IF(AND($B342&gt;=Targets!$C$7,$B342&lt;Targets!$C$8+1),"Yes","No"))</f>
        <v/>
      </c>
      <c r="K342" s="65" t="str">
        <f aca="false">IF($J342="Yes",$I342,"")</f>
        <v/>
      </c>
      <c r="L342" s="66" t="str">
        <f aca="false">IF($G342="","",IFERROR(INDEX($O$6:$O$25,MATCH($G342,$N$6:$N$25,0)),"Unknown dept"))</f>
        <v/>
      </c>
    </row>
    <row r="343" customFormat="false" ht="15" hidden="false" customHeight="true" outlineLevel="0" collapsed="false">
      <c r="A343" s="67"/>
      <c r="B343" s="68"/>
      <c r="C343" s="68"/>
      <c r="D343" s="67"/>
      <c r="E343" s="67"/>
      <c r="F343" s="67"/>
      <c r="G343" s="67"/>
      <c r="H343" s="67"/>
      <c r="I343" s="65" t="str">
        <f aca="false">IF(OR($B343="",$C343=""),"",$C343-$B343)</f>
        <v/>
      </c>
      <c r="J343" s="66" t="str">
        <f aca="false">IF($B343="","",IF(AND($B343&gt;=Targets!$C$7,$B343&lt;Targets!$C$8+1),"Yes","No"))</f>
        <v/>
      </c>
      <c r="K343" s="65" t="str">
        <f aca="false">IF($J343="Yes",$I343,"")</f>
        <v/>
      </c>
      <c r="L343" s="66" t="str">
        <f aca="false">IF($G343="","",IFERROR(INDEX($O$6:$O$25,MATCH($G343,$N$6:$N$25,0)),"Unknown dept"))</f>
        <v/>
      </c>
    </row>
    <row r="344" customFormat="false" ht="15" hidden="false" customHeight="true" outlineLevel="0" collapsed="false">
      <c r="A344" s="63"/>
      <c r="B344" s="64"/>
      <c r="C344" s="64"/>
      <c r="D344" s="63"/>
      <c r="E344" s="63"/>
      <c r="F344" s="63"/>
      <c r="G344" s="63"/>
      <c r="H344" s="63"/>
      <c r="I344" s="65" t="str">
        <f aca="false">IF(OR($B344="",$C344=""),"",$C344-$B344)</f>
        <v/>
      </c>
      <c r="J344" s="66" t="str">
        <f aca="false">IF($B344="","",IF(AND($B344&gt;=Targets!$C$7,$B344&lt;Targets!$C$8+1),"Yes","No"))</f>
        <v/>
      </c>
      <c r="K344" s="65" t="str">
        <f aca="false">IF($J344="Yes",$I344,"")</f>
        <v/>
      </c>
      <c r="L344" s="66" t="str">
        <f aca="false">IF($G344="","",IFERROR(INDEX($O$6:$O$25,MATCH($G344,$N$6:$N$25,0)),"Unknown dept"))</f>
        <v/>
      </c>
    </row>
    <row r="345" customFormat="false" ht="15" hidden="false" customHeight="true" outlineLevel="0" collapsed="false">
      <c r="A345" s="67"/>
      <c r="B345" s="68"/>
      <c r="C345" s="68"/>
      <c r="D345" s="67"/>
      <c r="E345" s="67"/>
      <c r="F345" s="67"/>
      <c r="G345" s="67"/>
      <c r="H345" s="67"/>
      <c r="I345" s="65" t="str">
        <f aca="false">IF(OR($B345="",$C345=""),"",$C345-$B345)</f>
        <v/>
      </c>
      <c r="J345" s="66" t="str">
        <f aca="false">IF($B345="","",IF(AND($B345&gt;=Targets!$C$7,$B345&lt;Targets!$C$8+1),"Yes","No"))</f>
        <v/>
      </c>
      <c r="K345" s="65" t="str">
        <f aca="false">IF($J345="Yes",$I345,"")</f>
        <v/>
      </c>
      <c r="L345" s="66" t="str">
        <f aca="false">IF($G345="","",IFERROR(INDEX($O$6:$O$25,MATCH($G345,$N$6:$N$25,0)),"Unknown dept"))</f>
        <v/>
      </c>
    </row>
    <row r="346" customFormat="false" ht="15" hidden="false" customHeight="true" outlineLevel="0" collapsed="false">
      <c r="A346" s="63"/>
      <c r="B346" s="64"/>
      <c r="C346" s="64"/>
      <c r="D346" s="63"/>
      <c r="E346" s="63"/>
      <c r="F346" s="63"/>
      <c r="G346" s="63"/>
      <c r="H346" s="63"/>
      <c r="I346" s="65" t="str">
        <f aca="false">IF(OR($B346="",$C346=""),"",$C346-$B346)</f>
        <v/>
      </c>
      <c r="J346" s="66" t="str">
        <f aca="false">IF($B346="","",IF(AND($B346&gt;=Targets!$C$7,$B346&lt;Targets!$C$8+1),"Yes","No"))</f>
        <v/>
      </c>
      <c r="K346" s="65" t="str">
        <f aca="false">IF($J346="Yes",$I346,"")</f>
        <v/>
      </c>
      <c r="L346" s="66" t="str">
        <f aca="false">IF($G346="","",IFERROR(INDEX($O$6:$O$25,MATCH($G346,$N$6:$N$25,0)),"Unknown dept"))</f>
        <v/>
      </c>
    </row>
    <row r="347" customFormat="false" ht="15" hidden="false" customHeight="true" outlineLevel="0" collapsed="false">
      <c r="A347" s="67"/>
      <c r="B347" s="68"/>
      <c r="C347" s="68"/>
      <c r="D347" s="67"/>
      <c r="E347" s="67"/>
      <c r="F347" s="67"/>
      <c r="G347" s="67"/>
      <c r="H347" s="67"/>
      <c r="I347" s="65" t="str">
        <f aca="false">IF(OR($B347="",$C347=""),"",$C347-$B347)</f>
        <v/>
      </c>
      <c r="J347" s="66" t="str">
        <f aca="false">IF($B347="","",IF(AND($B347&gt;=Targets!$C$7,$B347&lt;Targets!$C$8+1),"Yes","No"))</f>
        <v/>
      </c>
      <c r="K347" s="65" t="str">
        <f aca="false">IF($J347="Yes",$I347,"")</f>
        <v/>
      </c>
      <c r="L347" s="66" t="str">
        <f aca="false">IF($G347="","",IFERROR(INDEX($O$6:$O$25,MATCH($G347,$N$6:$N$25,0)),"Unknown dept"))</f>
        <v/>
      </c>
    </row>
    <row r="348" customFormat="false" ht="15" hidden="false" customHeight="true" outlineLevel="0" collapsed="false">
      <c r="A348" s="63"/>
      <c r="B348" s="64"/>
      <c r="C348" s="64"/>
      <c r="D348" s="63"/>
      <c r="E348" s="63"/>
      <c r="F348" s="63"/>
      <c r="G348" s="63"/>
      <c r="H348" s="63"/>
      <c r="I348" s="65" t="str">
        <f aca="false">IF(OR($B348="",$C348=""),"",$C348-$B348)</f>
        <v/>
      </c>
      <c r="J348" s="66" t="str">
        <f aca="false">IF($B348="","",IF(AND($B348&gt;=Targets!$C$7,$B348&lt;Targets!$C$8+1),"Yes","No"))</f>
        <v/>
      </c>
      <c r="K348" s="65" t="str">
        <f aca="false">IF($J348="Yes",$I348,"")</f>
        <v/>
      </c>
      <c r="L348" s="66" t="str">
        <f aca="false">IF($G348="","",IFERROR(INDEX($O$6:$O$25,MATCH($G348,$N$6:$N$25,0)),"Unknown dept"))</f>
        <v/>
      </c>
    </row>
    <row r="349" customFormat="false" ht="15" hidden="false" customHeight="true" outlineLevel="0" collapsed="false">
      <c r="A349" s="67"/>
      <c r="B349" s="68"/>
      <c r="C349" s="68"/>
      <c r="D349" s="67"/>
      <c r="E349" s="67"/>
      <c r="F349" s="67"/>
      <c r="G349" s="67"/>
      <c r="H349" s="67"/>
      <c r="I349" s="65" t="str">
        <f aca="false">IF(OR($B349="",$C349=""),"",$C349-$B349)</f>
        <v/>
      </c>
      <c r="J349" s="66" t="str">
        <f aca="false">IF($B349="","",IF(AND($B349&gt;=Targets!$C$7,$B349&lt;Targets!$C$8+1),"Yes","No"))</f>
        <v/>
      </c>
      <c r="K349" s="65" t="str">
        <f aca="false">IF($J349="Yes",$I349,"")</f>
        <v/>
      </c>
      <c r="L349" s="66" t="str">
        <f aca="false">IF($G349="","",IFERROR(INDEX($O$6:$O$25,MATCH($G349,$N$6:$N$25,0)),"Unknown dept"))</f>
        <v/>
      </c>
    </row>
    <row r="350" customFormat="false" ht="15" hidden="false" customHeight="true" outlineLevel="0" collapsed="false">
      <c r="A350" s="63"/>
      <c r="B350" s="64"/>
      <c r="C350" s="64"/>
      <c r="D350" s="63"/>
      <c r="E350" s="63"/>
      <c r="F350" s="63"/>
      <c r="G350" s="63"/>
      <c r="H350" s="63"/>
      <c r="I350" s="65" t="str">
        <f aca="false">IF(OR($B350="",$C350=""),"",$C350-$B350)</f>
        <v/>
      </c>
      <c r="J350" s="66" t="str">
        <f aca="false">IF($B350="","",IF(AND($B350&gt;=Targets!$C$7,$B350&lt;Targets!$C$8+1),"Yes","No"))</f>
        <v/>
      </c>
      <c r="K350" s="65" t="str">
        <f aca="false">IF($J350="Yes",$I350,"")</f>
        <v/>
      </c>
      <c r="L350" s="66" t="str">
        <f aca="false">IF($G350="","",IFERROR(INDEX($O$6:$O$25,MATCH($G350,$N$6:$N$25,0)),"Unknown dept"))</f>
        <v/>
      </c>
    </row>
    <row r="351" customFormat="false" ht="15" hidden="false" customHeight="true" outlineLevel="0" collapsed="false">
      <c r="A351" s="67"/>
      <c r="B351" s="68"/>
      <c r="C351" s="68"/>
      <c r="D351" s="67"/>
      <c r="E351" s="67"/>
      <c r="F351" s="67"/>
      <c r="G351" s="67"/>
      <c r="H351" s="67"/>
      <c r="I351" s="65" t="str">
        <f aca="false">IF(OR($B351="",$C351=""),"",$C351-$B351)</f>
        <v/>
      </c>
      <c r="J351" s="66" t="str">
        <f aca="false">IF($B351="","",IF(AND($B351&gt;=Targets!$C$7,$B351&lt;Targets!$C$8+1),"Yes","No"))</f>
        <v/>
      </c>
      <c r="K351" s="65" t="str">
        <f aca="false">IF($J351="Yes",$I351,"")</f>
        <v/>
      </c>
      <c r="L351" s="66" t="str">
        <f aca="false">IF($G351="","",IFERROR(INDEX($O$6:$O$25,MATCH($G351,$N$6:$N$25,0)),"Unknown dept"))</f>
        <v/>
      </c>
    </row>
    <row r="352" customFormat="false" ht="15" hidden="false" customHeight="true" outlineLevel="0" collapsed="false">
      <c r="A352" s="63"/>
      <c r="B352" s="64"/>
      <c r="C352" s="64"/>
      <c r="D352" s="63"/>
      <c r="E352" s="63"/>
      <c r="F352" s="63"/>
      <c r="G352" s="63"/>
      <c r="H352" s="63"/>
      <c r="I352" s="65" t="str">
        <f aca="false">IF(OR($B352="",$C352=""),"",$C352-$B352)</f>
        <v/>
      </c>
      <c r="J352" s="66" t="str">
        <f aca="false">IF($B352="","",IF(AND($B352&gt;=Targets!$C$7,$B352&lt;Targets!$C$8+1),"Yes","No"))</f>
        <v/>
      </c>
      <c r="K352" s="65" t="str">
        <f aca="false">IF($J352="Yes",$I352,"")</f>
        <v/>
      </c>
      <c r="L352" s="66" t="str">
        <f aca="false">IF($G352="","",IFERROR(INDEX($O$6:$O$25,MATCH($G352,$N$6:$N$25,0)),"Unknown dept"))</f>
        <v/>
      </c>
    </row>
    <row r="353" customFormat="false" ht="15" hidden="false" customHeight="true" outlineLevel="0" collapsed="false">
      <c r="A353" s="67"/>
      <c r="B353" s="68"/>
      <c r="C353" s="68"/>
      <c r="D353" s="67"/>
      <c r="E353" s="67"/>
      <c r="F353" s="67"/>
      <c r="G353" s="67"/>
      <c r="H353" s="67"/>
      <c r="I353" s="65" t="str">
        <f aca="false">IF(OR($B353="",$C353=""),"",$C353-$B353)</f>
        <v/>
      </c>
      <c r="J353" s="66" t="str">
        <f aca="false">IF($B353="","",IF(AND($B353&gt;=Targets!$C$7,$B353&lt;Targets!$C$8+1),"Yes","No"))</f>
        <v/>
      </c>
      <c r="K353" s="65" t="str">
        <f aca="false">IF($J353="Yes",$I353,"")</f>
        <v/>
      </c>
      <c r="L353" s="66" t="str">
        <f aca="false">IF($G353="","",IFERROR(INDEX($O$6:$O$25,MATCH($G353,$N$6:$N$25,0)),"Unknown dept"))</f>
        <v/>
      </c>
    </row>
    <row r="354" customFormat="false" ht="15" hidden="false" customHeight="true" outlineLevel="0" collapsed="false">
      <c r="A354" s="63"/>
      <c r="B354" s="64"/>
      <c r="C354" s="64"/>
      <c r="D354" s="63"/>
      <c r="E354" s="63"/>
      <c r="F354" s="63"/>
      <c r="G354" s="63"/>
      <c r="H354" s="63"/>
      <c r="I354" s="65" t="str">
        <f aca="false">IF(OR($B354="",$C354=""),"",$C354-$B354)</f>
        <v/>
      </c>
      <c r="J354" s="66" t="str">
        <f aca="false">IF($B354="","",IF(AND($B354&gt;=Targets!$C$7,$B354&lt;Targets!$C$8+1),"Yes","No"))</f>
        <v/>
      </c>
      <c r="K354" s="65" t="str">
        <f aca="false">IF($J354="Yes",$I354,"")</f>
        <v/>
      </c>
      <c r="L354" s="66" t="str">
        <f aca="false">IF($G354="","",IFERROR(INDEX($O$6:$O$25,MATCH($G354,$N$6:$N$25,0)),"Unknown dept"))</f>
        <v/>
      </c>
    </row>
    <row r="355" customFormat="false" ht="15" hidden="false" customHeight="true" outlineLevel="0" collapsed="false">
      <c r="A355" s="67"/>
      <c r="B355" s="68"/>
      <c r="C355" s="68"/>
      <c r="D355" s="67"/>
      <c r="E355" s="67"/>
      <c r="F355" s="67"/>
      <c r="G355" s="67"/>
      <c r="H355" s="67"/>
      <c r="I355" s="65" t="str">
        <f aca="false">IF(OR($B355="",$C355=""),"",$C355-$B355)</f>
        <v/>
      </c>
      <c r="J355" s="66" t="str">
        <f aca="false">IF($B355="","",IF(AND($B355&gt;=Targets!$C$7,$B355&lt;Targets!$C$8+1),"Yes","No"))</f>
        <v/>
      </c>
      <c r="K355" s="65" t="str">
        <f aca="false">IF($J355="Yes",$I355,"")</f>
        <v/>
      </c>
      <c r="L355" s="66" t="str">
        <f aca="false">IF($G355="","",IFERROR(INDEX($O$6:$O$25,MATCH($G355,$N$6:$N$25,0)),"Unknown dept"))</f>
        <v/>
      </c>
    </row>
    <row r="356" customFormat="false" ht="15" hidden="false" customHeight="true" outlineLevel="0" collapsed="false">
      <c r="A356" s="63"/>
      <c r="B356" s="64"/>
      <c r="C356" s="64"/>
      <c r="D356" s="63"/>
      <c r="E356" s="63"/>
      <c r="F356" s="63"/>
      <c r="G356" s="63"/>
      <c r="H356" s="63"/>
      <c r="I356" s="65" t="str">
        <f aca="false">IF(OR($B356="",$C356=""),"",$C356-$B356)</f>
        <v/>
      </c>
      <c r="J356" s="66" t="str">
        <f aca="false">IF($B356="","",IF(AND($B356&gt;=Targets!$C$7,$B356&lt;Targets!$C$8+1),"Yes","No"))</f>
        <v/>
      </c>
      <c r="K356" s="65" t="str">
        <f aca="false">IF($J356="Yes",$I356,"")</f>
        <v/>
      </c>
      <c r="L356" s="66" t="str">
        <f aca="false">IF($G356="","",IFERROR(INDEX($O$6:$O$25,MATCH($G356,$N$6:$N$25,0)),"Unknown dept"))</f>
        <v/>
      </c>
    </row>
    <row r="357" customFormat="false" ht="15" hidden="false" customHeight="true" outlineLevel="0" collapsed="false">
      <c r="A357" s="67"/>
      <c r="B357" s="68"/>
      <c r="C357" s="68"/>
      <c r="D357" s="67"/>
      <c r="E357" s="67"/>
      <c r="F357" s="67"/>
      <c r="G357" s="67"/>
      <c r="H357" s="67"/>
      <c r="I357" s="65" t="str">
        <f aca="false">IF(OR($B357="",$C357=""),"",$C357-$B357)</f>
        <v/>
      </c>
      <c r="J357" s="66" t="str">
        <f aca="false">IF($B357="","",IF(AND($B357&gt;=Targets!$C$7,$B357&lt;Targets!$C$8+1),"Yes","No"))</f>
        <v/>
      </c>
      <c r="K357" s="65" t="str">
        <f aca="false">IF($J357="Yes",$I357,"")</f>
        <v/>
      </c>
      <c r="L357" s="66" t="str">
        <f aca="false">IF($G357="","",IFERROR(INDEX($O$6:$O$25,MATCH($G357,$N$6:$N$25,0)),"Unknown dept"))</f>
        <v/>
      </c>
    </row>
    <row r="358" customFormat="false" ht="15" hidden="false" customHeight="true" outlineLevel="0" collapsed="false">
      <c r="A358" s="63"/>
      <c r="B358" s="64"/>
      <c r="C358" s="64"/>
      <c r="D358" s="63"/>
      <c r="E358" s="63"/>
      <c r="F358" s="63"/>
      <c r="G358" s="63"/>
      <c r="H358" s="63"/>
      <c r="I358" s="65" t="str">
        <f aca="false">IF(OR($B358="",$C358=""),"",$C358-$B358)</f>
        <v/>
      </c>
      <c r="J358" s="66" t="str">
        <f aca="false">IF($B358="","",IF(AND($B358&gt;=Targets!$C$7,$B358&lt;Targets!$C$8+1),"Yes","No"))</f>
        <v/>
      </c>
      <c r="K358" s="65" t="str">
        <f aca="false">IF($J358="Yes",$I358,"")</f>
        <v/>
      </c>
      <c r="L358" s="66" t="str">
        <f aca="false">IF($G358="","",IFERROR(INDEX($O$6:$O$25,MATCH($G358,$N$6:$N$25,0)),"Unknown dept"))</f>
        <v/>
      </c>
    </row>
    <row r="359" customFormat="false" ht="15" hidden="false" customHeight="true" outlineLevel="0" collapsed="false">
      <c r="A359" s="67"/>
      <c r="B359" s="68"/>
      <c r="C359" s="68"/>
      <c r="D359" s="67"/>
      <c r="E359" s="67"/>
      <c r="F359" s="67"/>
      <c r="G359" s="67"/>
      <c r="H359" s="67"/>
      <c r="I359" s="65" t="str">
        <f aca="false">IF(OR($B359="",$C359=""),"",$C359-$B359)</f>
        <v/>
      </c>
      <c r="J359" s="66" t="str">
        <f aca="false">IF($B359="","",IF(AND($B359&gt;=Targets!$C$7,$B359&lt;Targets!$C$8+1),"Yes","No"))</f>
        <v/>
      </c>
      <c r="K359" s="65" t="str">
        <f aca="false">IF($J359="Yes",$I359,"")</f>
        <v/>
      </c>
      <c r="L359" s="66" t="str">
        <f aca="false">IF($G359="","",IFERROR(INDEX($O$6:$O$25,MATCH($G359,$N$6:$N$25,0)),"Unknown dept"))</f>
        <v/>
      </c>
    </row>
    <row r="360" customFormat="false" ht="15" hidden="false" customHeight="true" outlineLevel="0" collapsed="false">
      <c r="A360" s="63"/>
      <c r="B360" s="64"/>
      <c r="C360" s="64"/>
      <c r="D360" s="63"/>
      <c r="E360" s="63"/>
      <c r="F360" s="63"/>
      <c r="G360" s="63"/>
      <c r="H360" s="63"/>
      <c r="I360" s="65" t="str">
        <f aca="false">IF(OR($B360="",$C360=""),"",$C360-$B360)</f>
        <v/>
      </c>
      <c r="J360" s="66" t="str">
        <f aca="false">IF($B360="","",IF(AND($B360&gt;=Targets!$C$7,$B360&lt;Targets!$C$8+1),"Yes","No"))</f>
        <v/>
      </c>
      <c r="K360" s="65" t="str">
        <f aca="false">IF($J360="Yes",$I360,"")</f>
        <v/>
      </c>
      <c r="L360" s="66" t="str">
        <f aca="false">IF($G360="","",IFERROR(INDEX($O$6:$O$25,MATCH($G360,$N$6:$N$25,0)),"Unknown dept"))</f>
        <v/>
      </c>
    </row>
    <row r="361" customFormat="false" ht="15" hidden="false" customHeight="true" outlineLevel="0" collapsed="false">
      <c r="A361" s="67"/>
      <c r="B361" s="68"/>
      <c r="C361" s="68"/>
      <c r="D361" s="67"/>
      <c r="E361" s="67"/>
      <c r="F361" s="67"/>
      <c r="G361" s="67"/>
      <c r="H361" s="67"/>
      <c r="I361" s="65" t="str">
        <f aca="false">IF(OR($B361="",$C361=""),"",$C361-$B361)</f>
        <v/>
      </c>
      <c r="J361" s="66" t="str">
        <f aca="false">IF($B361="","",IF(AND($B361&gt;=Targets!$C$7,$B361&lt;Targets!$C$8+1),"Yes","No"))</f>
        <v/>
      </c>
      <c r="K361" s="65" t="str">
        <f aca="false">IF($J361="Yes",$I361,"")</f>
        <v/>
      </c>
      <c r="L361" s="66" t="str">
        <f aca="false">IF($G361="","",IFERROR(INDEX($O$6:$O$25,MATCH($G361,$N$6:$N$25,0)),"Unknown dept"))</f>
        <v/>
      </c>
    </row>
    <row r="362" customFormat="false" ht="15" hidden="false" customHeight="true" outlineLevel="0" collapsed="false">
      <c r="A362" s="63"/>
      <c r="B362" s="64"/>
      <c r="C362" s="64"/>
      <c r="D362" s="63"/>
      <c r="E362" s="63"/>
      <c r="F362" s="63"/>
      <c r="G362" s="63"/>
      <c r="H362" s="63"/>
      <c r="I362" s="65" t="str">
        <f aca="false">IF(OR($B362="",$C362=""),"",$C362-$B362)</f>
        <v/>
      </c>
      <c r="J362" s="66" t="str">
        <f aca="false">IF($B362="","",IF(AND($B362&gt;=Targets!$C$7,$B362&lt;Targets!$C$8+1),"Yes","No"))</f>
        <v/>
      </c>
      <c r="K362" s="65" t="str">
        <f aca="false">IF($J362="Yes",$I362,"")</f>
        <v/>
      </c>
      <c r="L362" s="66" t="str">
        <f aca="false">IF($G362="","",IFERROR(INDEX($O$6:$O$25,MATCH($G362,$N$6:$N$25,0)),"Unknown dept"))</f>
        <v/>
      </c>
    </row>
    <row r="363" customFormat="false" ht="15" hidden="false" customHeight="true" outlineLevel="0" collapsed="false">
      <c r="A363" s="67"/>
      <c r="B363" s="68"/>
      <c r="C363" s="68"/>
      <c r="D363" s="67"/>
      <c r="E363" s="67"/>
      <c r="F363" s="67"/>
      <c r="G363" s="67"/>
      <c r="H363" s="67"/>
      <c r="I363" s="65" t="str">
        <f aca="false">IF(OR($B363="",$C363=""),"",$C363-$B363)</f>
        <v/>
      </c>
      <c r="J363" s="66" t="str">
        <f aca="false">IF($B363="","",IF(AND($B363&gt;=Targets!$C$7,$B363&lt;Targets!$C$8+1),"Yes","No"))</f>
        <v/>
      </c>
      <c r="K363" s="65" t="str">
        <f aca="false">IF($J363="Yes",$I363,"")</f>
        <v/>
      </c>
      <c r="L363" s="66" t="str">
        <f aca="false">IF($G363="","",IFERROR(INDEX($O$6:$O$25,MATCH($G363,$N$6:$N$25,0)),"Unknown dept"))</f>
        <v/>
      </c>
    </row>
    <row r="364" customFormat="false" ht="15" hidden="false" customHeight="true" outlineLevel="0" collapsed="false">
      <c r="A364" s="63"/>
      <c r="B364" s="64"/>
      <c r="C364" s="64"/>
      <c r="D364" s="63"/>
      <c r="E364" s="63"/>
      <c r="F364" s="63"/>
      <c r="G364" s="63"/>
      <c r="H364" s="63"/>
      <c r="I364" s="65" t="str">
        <f aca="false">IF(OR($B364="",$C364=""),"",$C364-$B364)</f>
        <v/>
      </c>
      <c r="J364" s="66" t="str">
        <f aca="false">IF($B364="","",IF(AND($B364&gt;=Targets!$C$7,$B364&lt;Targets!$C$8+1),"Yes","No"))</f>
        <v/>
      </c>
      <c r="K364" s="65" t="str">
        <f aca="false">IF($J364="Yes",$I364,"")</f>
        <v/>
      </c>
      <c r="L364" s="66" t="str">
        <f aca="false">IF($G364="","",IFERROR(INDEX($O$6:$O$25,MATCH($G364,$N$6:$N$25,0)),"Unknown dept"))</f>
        <v/>
      </c>
    </row>
    <row r="365" customFormat="false" ht="15" hidden="false" customHeight="true" outlineLevel="0" collapsed="false">
      <c r="A365" s="67"/>
      <c r="B365" s="68"/>
      <c r="C365" s="68"/>
      <c r="D365" s="67"/>
      <c r="E365" s="67"/>
      <c r="F365" s="67"/>
      <c r="G365" s="67"/>
      <c r="H365" s="67"/>
      <c r="I365" s="65" t="str">
        <f aca="false">IF(OR($B365="",$C365=""),"",$C365-$B365)</f>
        <v/>
      </c>
      <c r="J365" s="66" t="str">
        <f aca="false">IF($B365="","",IF(AND($B365&gt;=Targets!$C$7,$B365&lt;Targets!$C$8+1),"Yes","No"))</f>
        <v/>
      </c>
      <c r="K365" s="65" t="str">
        <f aca="false">IF($J365="Yes",$I365,"")</f>
        <v/>
      </c>
      <c r="L365" s="66" t="str">
        <f aca="false">IF($G365="","",IFERROR(INDEX($O$6:$O$25,MATCH($G365,$N$6:$N$25,0)),"Unknown dept"))</f>
        <v/>
      </c>
    </row>
    <row r="366" customFormat="false" ht="15" hidden="false" customHeight="true" outlineLevel="0" collapsed="false">
      <c r="A366" s="63"/>
      <c r="B366" s="64"/>
      <c r="C366" s="64"/>
      <c r="D366" s="63"/>
      <c r="E366" s="63"/>
      <c r="F366" s="63"/>
      <c r="G366" s="63"/>
      <c r="H366" s="63"/>
      <c r="I366" s="65" t="str">
        <f aca="false">IF(OR($B366="",$C366=""),"",$C366-$B366)</f>
        <v/>
      </c>
      <c r="J366" s="66" t="str">
        <f aca="false">IF($B366="","",IF(AND($B366&gt;=Targets!$C$7,$B366&lt;Targets!$C$8+1),"Yes","No"))</f>
        <v/>
      </c>
      <c r="K366" s="65" t="str">
        <f aca="false">IF($J366="Yes",$I366,"")</f>
        <v/>
      </c>
      <c r="L366" s="66" t="str">
        <f aca="false">IF($G366="","",IFERROR(INDEX($O$6:$O$25,MATCH($G366,$N$6:$N$25,0)),"Unknown dept"))</f>
        <v/>
      </c>
    </row>
    <row r="367" customFormat="false" ht="15" hidden="false" customHeight="true" outlineLevel="0" collapsed="false">
      <c r="A367" s="67"/>
      <c r="B367" s="68"/>
      <c r="C367" s="68"/>
      <c r="D367" s="67"/>
      <c r="E367" s="67"/>
      <c r="F367" s="67"/>
      <c r="G367" s="67"/>
      <c r="H367" s="67"/>
      <c r="I367" s="65" t="str">
        <f aca="false">IF(OR($B367="",$C367=""),"",$C367-$B367)</f>
        <v/>
      </c>
      <c r="J367" s="66" t="str">
        <f aca="false">IF($B367="","",IF(AND($B367&gt;=Targets!$C$7,$B367&lt;Targets!$C$8+1),"Yes","No"))</f>
        <v/>
      </c>
      <c r="K367" s="65" t="str">
        <f aca="false">IF($J367="Yes",$I367,"")</f>
        <v/>
      </c>
      <c r="L367" s="66" t="str">
        <f aca="false">IF($G367="","",IFERROR(INDEX($O$6:$O$25,MATCH($G367,$N$6:$N$25,0)),"Unknown dept"))</f>
        <v/>
      </c>
    </row>
    <row r="368" customFormat="false" ht="15" hidden="false" customHeight="true" outlineLevel="0" collapsed="false">
      <c r="A368" s="63"/>
      <c r="B368" s="64"/>
      <c r="C368" s="64"/>
      <c r="D368" s="63"/>
      <c r="E368" s="63"/>
      <c r="F368" s="63"/>
      <c r="G368" s="63"/>
      <c r="H368" s="63"/>
      <c r="I368" s="65" t="str">
        <f aca="false">IF(OR($B368="",$C368=""),"",$C368-$B368)</f>
        <v/>
      </c>
      <c r="J368" s="66" t="str">
        <f aca="false">IF($B368="","",IF(AND($B368&gt;=Targets!$C$7,$B368&lt;Targets!$C$8+1),"Yes","No"))</f>
        <v/>
      </c>
      <c r="K368" s="65" t="str">
        <f aca="false">IF($J368="Yes",$I368,"")</f>
        <v/>
      </c>
      <c r="L368" s="66" t="str">
        <f aca="false">IF($G368="","",IFERROR(INDEX($O$6:$O$25,MATCH($G368,$N$6:$N$25,0)),"Unknown dept"))</f>
        <v/>
      </c>
    </row>
    <row r="369" customFormat="false" ht="15" hidden="false" customHeight="true" outlineLevel="0" collapsed="false">
      <c r="A369" s="67"/>
      <c r="B369" s="68"/>
      <c r="C369" s="68"/>
      <c r="D369" s="67"/>
      <c r="E369" s="67"/>
      <c r="F369" s="67"/>
      <c r="G369" s="67"/>
      <c r="H369" s="67"/>
      <c r="I369" s="65" t="str">
        <f aca="false">IF(OR($B369="",$C369=""),"",$C369-$B369)</f>
        <v/>
      </c>
      <c r="J369" s="66" t="str">
        <f aca="false">IF($B369="","",IF(AND($B369&gt;=Targets!$C$7,$B369&lt;Targets!$C$8+1),"Yes","No"))</f>
        <v/>
      </c>
      <c r="K369" s="65" t="str">
        <f aca="false">IF($J369="Yes",$I369,"")</f>
        <v/>
      </c>
      <c r="L369" s="66" t="str">
        <f aca="false">IF($G369="","",IFERROR(INDEX($O$6:$O$25,MATCH($G369,$N$6:$N$25,0)),"Unknown dept"))</f>
        <v/>
      </c>
    </row>
    <row r="370" customFormat="false" ht="15" hidden="false" customHeight="true" outlineLevel="0" collapsed="false">
      <c r="A370" s="63"/>
      <c r="B370" s="64"/>
      <c r="C370" s="64"/>
      <c r="D370" s="63"/>
      <c r="E370" s="63"/>
      <c r="F370" s="63"/>
      <c r="G370" s="63"/>
      <c r="H370" s="63"/>
      <c r="I370" s="65" t="str">
        <f aca="false">IF(OR($B370="",$C370=""),"",$C370-$B370)</f>
        <v/>
      </c>
      <c r="J370" s="66" t="str">
        <f aca="false">IF($B370="","",IF(AND($B370&gt;=Targets!$C$7,$B370&lt;Targets!$C$8+1),"Yes","No"))</f>
        <v/>
      </c>
      <c r="K370" s="65" t="str">
        <f aca="false">IF($J370="Yes",$I370,"")</f>
        <v/>
      </c>
      <c r="L370" s="66" t="str">
        <f aca="false">IF($G370="","",IFERROR(INDEX($O$6:$O$25,MATCH($G370,$N$6:$N$25,0)),"Unknown dept"))</f>
        <v/>
      </c>
    </row>
    <row r="371" customFormat="false" ht="15" hidden="false" customHeight="true" outlineLevel="0" collapsed="false">
      <c r="A371" s="67"/>
      <c r="B371" s="68"/>
      <c r="C371" s="68"/>
      <c r="D371" s="67"/>
      <c r="E371" s="67"/>
      <c r="F371" s="67"/>
      <c r="G371" s="67"/>
      <c r="H371" s="67"/>
      <c r="I371" s="65" t="str">
        <f aca="false">IF(OR($B371="",$C371=""),"",$C371-$B371)</f>
        <v/>
      </c>
      <c r="J371" s="66" t="str">
        <f aca="false">IF($B371="","",IF(AND($B371&gt;=Targets!$C$7,$B371&lt;Targets!$C$8+1),"Yes","No"))</f>
        <v/>
      </c>
      <c r="K371" s="65" t="str">
        <f aca="false">IF($J371="Yes",$I371,"")</f>
        <v/>
      </c>
      <c r="L371" s="66" t="str">
        <f aca="false">IF($G371="","",IFERROR(INDEX($O$6:$O$25,MATCH($G371,$N$6:$N$25,0)),"Unknown dept"))</f>
        <v/>
      </c>
    </row>
    <row r="372" customFormat="false" ht="15" hidden="false" customHeight="true" outlineLevel="0" collapsed="false">
      <c r="A372" s="63"/>
      <c r="B372" s="64"/>
      <c r="C372" s="64"/>
      <c r="D372" s="63"/>
      <c r="E372" s="63"/>
      <c r="F372" s="63"/>
      <c r="G372" s="63"/>
      <c r="H372" s="63"/>
      <c r="I372" s="65" t="str">
        <f aca="false">IF(OR($B372="",$C372=""),"",$C372-$B372)</f>
        <v/>
      </c>
      <c r="J372" s="66" t="str">
        <f aca="false">IF($B372="","",IF(AND($B372&gt;=Targets!$C$7,$B372&lt;Targets!$C$8+1),"Yes","No"))</f>
        <v/>
      </c>
      <c r="K372" s="65" t="str">
        <f aca="false">IF($J372="Yes",$I372,"")</f>
        <v/>
      </c>
      <c r="L372" s="66" t="str">
        <f aca="false">IF($G372="","",IFERROR(INDEX($O$6:$O$25,MATCH($G372,$N$6:$N$25,0)),"Unknown dept"))</f>
        <v/>
      </c>
    </row>
    <row r="373" customFormat="false" ht="15" hidden="false" customHeight="true" outlineLevel="0" collapsed="false">
      <c r="A373" s="67"/>
      <c r="B373" s="68"/>
      <c r="C373" s="68"/>
      <c r="D373" s="67"/>
      <c r="E373" s="67"/>
      <c r="F373" s="67"/>
      <c r="G373" s="67"/>
      <c r="H373" s="67"/>
      <c r="I373" s="65" t="str">
        <f aca="false">IF(OR($B373="",$C373=""),"",$C373-$B373)</f>
        <v/>
      </c>
      <c r="J373" s="66" t="str">
        <f aca="false">IF($B373="","",IF(AND($B373&gt;=Targets!$C$7,$B373&lt;Targets!$C$8+1),"Yes","No"))</f>
        <v/>
      </c>
      <c r="K373" s="65" t="str">
        <f aca="false">IF($J373="Yes",$I373,"")</f>
        <v/>
      </c>
      <c r="L373" s="66" t="str">
        <f aca="false">IF($G373="","",IFERROR(INDEX($O$6:$O$25,MATCH($G373,$N$6:$N$25,0)),"Unknown dept"))</f>
        <v/>
      </c>
    </row>
    <row r="374" customFormat="false" ht="15" hidden="false" customHeight="true" outlineLevel="0" collapsed="false">
      <c r="A374" s="63"/>
      <c r="B374" s="64"/>
      <c r="C374" s="64"/>
      <c r="D374" s="63"/>
      <c r="E374" s="63"/>
      <c r="F374" s="63"/>
      <c r="G374" s="63"/>
      <c r="H374" s="63"/>
      <c r="I374" s="65" t="str">
        <f aca="false">IF(OR($B374="",$C374=""),"",$C374-$B374)</f>
        <v/>
      </c>
      <c r="J374" s="66" t="str">
        <f aca="false">IF($B374="","",IF(AND($B374&gt;=Targets!$C$7,$B374&lt;Targets!$C$8+1),"Yes","No"))</f>
        <v/>
      </c>
      <c r="K374" s="65" t="str">
        <f aca="false">IF($J374="Yes",$I374,"")</f>
        <v/>
      </c>
      <c r="L374" s="66" t="str">
        <f aca="false">IF($G374="","",IFERROR(INDEX($O$6:$O$25,MATCH($G374,$N$6:$N$25,0)),"Unknown dept"))</f>
        <v/>
      </c>
    </row>
    <row r="375" customFormat="false" ht="15" hidden="false" customHeight="true" outlineLevel="0" collapsed="false">
      <c r="A375" s="67"/>
      <c r="B375" s="68"/>
      <c r="C375" s="68"/>
      <c r="D375" s="67"/>
      <c r="E375" s="67"/>
      <c r="F375" s="67"/>
      <c r="G375" s="67"/>
      <c r="H375" s="67"/>
      <c r="I375" s="65" t="str">
        <f aca="false">IF(OR($B375="",$C375=""),"",$C375-$B375)</f>
        <v/>
      </c>
      <c r="J375" s="66" t="str">
        <f aca="false">IF($B375="","",IF(AND($B375&gt;=Targets!$C$7,$B375&lt;Targets!$C$8+1),"Yes","No"))</f>
        <v/>
      </c>
      <c r="K375" s="65" t="str">
        <f aca="false">IF($J375="Yes",$I375,"")</f>
        <v/>
      </c>
      <c r="L375" s="66" t="str">
        <f aca="false">IF($G375="","",IFERROR(INDEX($O$6:$O$25,MATCH($G375,$N$6:$N$25,0)),"Unknown dept"))</f>
        <v/>
      </c>
    </row>
    <row r="376" customFormat="false" ht="15" hidden="false" customHeight="true" outlineLevel="0" collapsed="false">
      <c r="A376" s="63"/>
      <c r="B376" s="64"/>
      <c r="C376" s="64"/>
      <c r="D376" s="63"/>
      <c r="E376" s="63"/>
      <c r="F376" s="63"/>
      <c r="G376" s="63"/>
      <c r="H376" s="63"/>
      <c r="I376" s="65" t="str">
        <f aca="false">IF(OR($B376="",$C376=""),"",$C376-$B376)</f>
        <v/>
      </c>
      <c r="J376" s="66" t="str">
        <f aca="false">IF($B376="","",IF(AND($B376&gt;=Targets!$C$7,$B376&lt;Targets!$C$8+1),"Yes","No"))</f>
        <v/>
      </c>
      <c r="K376" s="65" t="str">
        <f aca="false">IF($J376="Yes",$I376,"")</f>
        <v/>
      </c>
      <c r="L376" s="66" t="str">
        <f aca="false">IF($G376="","",IFERROR(INDEX($O$6:$O$25,MATCH($G376,$N$6:$N$25,0)),"Unknown dept"))</f>
        <v/>
      </c>
    </row>
    <row r="377" customFormat="false" ht="15" hidden="false" customHeight="true" outlineLevel="0" collapsed="false">
      <c r="A377" s="67"/>
      <c r="B377" s="68"/>
      <c r="C377" s="68"/>
      <c r="D377" s="67"/>
      <c r="E377" s="67"/>
      <c r="F377" s="67"/>
      <c r="G377" s="67"/>
      <c r="H377" s="67"/>
      <c r="I377" s="65" t="str">
        <f aca="false">IF(OR($B377="",$C377=""),"",$C377-$B377)</f>
        <v/>
      </c>
      <c r="J377" s="66" t="str">
        <f aca="false">IF($B377="","",IF(AND($B377&gt;=Targets!$C$7,$B377&lt;Targets!$C$8+1),"Yes","No"))</f>
        <v/>
      </c>
      <c r="K377" s="65" t="str">
        <f aca="false">IF($J377="Yes",$I377,"")</f>
        <v/>
      </c>
      <c r="L377" s="66" t="str">
        <f aca="false">IF($G377="","",IFERROR(INDEX($O$6:$O$25,MATCH($G377,$N$6:$N$25,0)),"Unknown dept"))</f>
        <v/>
      </c>
    </row>
    <row r="378" customFormat="false" ht="15" hidden="false" customHeight="true" outlineLevel="0" collapsed="false">
      <c r="A378" s="63"/>
      <c r="B378" s="64"/>
      <c r="C378" s="64"/>
      <c r="D378" s="63"/>
      <c r="E378" s="63"/>
      <c r="F378" s="63"/>
      <c r="G378" s="63"/>
      <c r="H378" s="63"/>
      <c r="I378" s="65" t="str">
        <f aca="false">IF(OR($B378="",$C378=""),"",$C378-$B378)</f>
        <v/>
      </c>
      <c r="J378" s="66" t="str">
        <f aca="false">IF($B378="","",IF(AND($B378&gt;=Targets!$C$7,$B378&lt;Targets!$C$8+1),"Yes","No"))</f>
        <v/>
      </c>
      <c r="K378" s="65" t="str">
        <f aca="false">IF($J378="Yes",$I378,"")</f>
        <v/>
      </c>
      <c r="L378" s="66" t="str">
        <f aca="false">IF($G378="","",IFERROR(INDEX($O$6:$O$25,MATCH($G378,$N$6:$N$25,0)),"Unknown dept"))</f>
        <v/>
      </c>
    </row>
    <row r="379" customFormat="false" ht="15" hidden="false" customHeight="true" outlineLevel="0" collapsed="false">
      <c r="A379" s="67"/>
      <c r="B379" s="68"/>
      <c r="C379" s="68"/>
      <c r="D379" s="67"/>
      <c r="E379" s="67"/>
      <c r="F379" s="67"/>
      <c r="G379" s="67"/>
      <c r="H379" s="67"/>
      <c r="I379" s="65" t="str">
        <f aca="false">IF(OR($B379="",$C379=""),"",$C379-$B379)</f>
        <v/>
      </c>
      <c r="J379" s="66" t="str">
        <f aca="false">IF($B379="","",IF(AND($B379&gt;=Targets!$C$7,$B379&lt;Targets!$C$8+1),"Yes","No"))</f>
        <v/>
      </c>
      <c r="K379" s="65" t="str">
        <f aca="false">IF($J379="Yes",$I379,"")</f>
        <v/>
      </c>
      <c r="L379" s="66" t="str">
        <f aca="false">IF($G379="","",IFERROR(INDEX($O$6:$O$25,MATCH($G379,$N$6:$N$25,0)),"Unknown dept"))</f>
        <v/>
      </c>
    </row>
    <row r="380" customFormat="false" ht="15" hidden="false" customHeight="true" outlineLevel="0" collapsed="false">
      <c r="A380" s="63"/>
      <c r="B380" s="64"/>
      <c r="C380" s="64"/>
      <c r="D380" s="63"/>
      <c r="E380" s="63"/>
      <c r="F380" s="63"/>
      <c r="G380" s="63"/>
      <c r="H380" s="63"/>
      <c r="I380" s="65" t="str">
        <f aca="false">IF(OR($B380="",$C380=""),"",$C380-$B380)</f>
        <v/>
      </c>
      <c r="J380" s="66" t="str">
        <f aca="false">IF($B380="","",IF(AND($B380&gt;=Targets!$C$7,$B380&lt;Targets!$C$8+1),"Yes","No"))</f>
        <v/>
      </c>
      <c r="K380" s="65" t="str">
        <f aca="false">IF($J380="Yes",$I380,"")</f>
        <v/>
      </c>
      <c r="L380" s="66" t="str">
        <f aca="false">IF($G380="","",IFERROR(INDEX($O$6:$O$25,MATCH($G380,$N$6:$N$25,0)),"Unknown dept"))</f>
        <v/>
      </c>
    </row>
    <row r="381" customFormat="false" ht="15" hidden="false" customHeight="true" outlineLevel="0" collapsed="false">
      <c r="A381" s="67"/>
      <c r="B381" s="68"/>
      <c r="C381" s="68"/>
      <c r="D381" s="67"/>
      <c r="E381" s="67"/>
      <c r="F381" s="67"/>
      <c r="G381" s="67"/>
      <c r="H381" s="67"/>
      <c r="I381" s="65" t="str">
        <f aca="false">IF(OR($B381="",$C381=""),"",$C381-$B381)</f>
        <v/>
      </c>
      <c r="J381" s="66" t="str">
        <f aca="false">IF($B381="","",IF(AND($B381&gt;=Targets!$C$7,$B381&lt;Targets!$C$8+1),"Yes","No"))</f>
        <v/>
      </c>
      <c r="K381" s="65" t="str">
        <f aca="false">IF($J381="Yes",$I381,"")</f>
        <v/>
      </c>
      <c r="L381" s="66" t="str">
        <f aca="false">IF($G381="","",IFERROR(INDEX($O$6:$O$25,MATCH($G381,$N$6:$N$25,0)),"Unknown dept"))</f>
        <v/>
      </c>
    </row>
    <row r="382" customFormat="false" ht="15" hidden="false" customHeight="true" outlineLevel="0" collapsed="false">
      <c r="A382" s="63"/>
      <c r="B382" s="64"/>
      <c r="C382" s="64"/>
      <c r="D382" s="63"/>
      <c r="E382" s="63"/>
      <c r="F382" s="63"/>
      <c r="G382" s="63"/>
      <c r="H382" s="63"/>
      <c r="I382" s="65" t="str">
        <f aca="false">IF(OR($B382="",$C382=""),"",$C382-$B382)</f>
        <v/>
      </c>
      <c r="J382" s="66" t="str">
        <f aca="false">IF($B382="","",IF(AND($B382&gt;=Targets!$C$7,$B382&lt;Targets!$C$8+1),"Yes","No"))</f>
        <v/>
      </c>
      <c r="K382" s="65" t="str">
        <f aca="false">IF($J382="Yes",$I382,"")</f>
        <v/>
      </c>
      <c r="L382" s="66" t="str">
        <f aca="false">IF($G382="","",IFERROR(INDEX($O$6:$O$25,MATCH($G382,$N$6:$N$25,0)),"Unknown dept"))</f>
        <v/>
      </c>
    </row>
    <row r="383" customFormat="false" ht="15" hidden="false" customHeight="true" outlineLevel="0" collapsed="false">
      <c r="A383" s="67"/>
      <c r="B383" s="68"/>
      <c r="C383" s="68"/>
      <c r="D383" s="67"/>
      <c r="E383" s="67"/>
      <c r="F383" s="67"/>
      <c r="G383" s="67"/>
      <c r="H383" s="67"/>
      <c r="I383" s="65" t="str">
        <f aca="false">IF(OR($B383="",$C383=""),"",$C383-$B383)</f>
        <v/>
      </c>
      <c r="J383" s="66" t="str">
        <f aca="false">IF($B383="","",IF(AND($B383&gt;=Targets!$C$7,$B383&lt;Targets!$C$8+1),"Yes","No"))</f>
        <v/>
      </c>
      <c r="K383" s="65" t="str">
        <f aca="false">IF($J383="Yes",$I383,"")</f>
        <v/>
      </c>
      <c r="L383" s="66" t="str">
        <f aca="false">IF($G383="","",IFERROR(INDEX($O$6:$O$25,MATCH($G383,$N$6:$N$25,0)),"Unknown dept"))</f>
        <v/>
      </c>
    </row>
    <row r="384" customFormat="false" ht="15" hidden="false" customHeight="true" outlineLevel="0" collapsed="false">
      <c r="A384" s="63"/>
      <c r="B384" s="64"/>
      <c r="C384" s="64"/>
      <c r="D384" s="63"/>
      <c r="E384" s="63"/>
      <c r="F384" s="63"/>
      <c r="G384" s="63"/>
      <c r="H384" s="63"/>
      <c r="I384" s="65" t="str">
        <f aca="false">IF(OR($B384="",$C384=""),"",$C384-$B384)</f>
        <v/>
      </c>
      <c r="J384" s="66" t="str">
        <f aca="false">IF($B384="","",IF(AND($B384&gt;=Targets!$C$7,$B384&lt;Targets!$C$8+1),"Yes","No"))</f>
        <v/>
      </c>
      <c r="K384" s="65" t="str">
        <f aca="false">IF($J384="Yes",$I384,"")</f>
        <v/>
      </c>
      <c r="L384" s="66" t="str">
        <f aca="false">IF($G384="","",IFERROR(INDEX($O$6:$O$25,MATCH($G384,$N$6:$N$25,0)),"Unknown dept"))</f>
        <v/>
      </c>
    </row>
    <row r="385" customFormat="false" ht="15" hidden="false" customHeight="true" outlineLevel="0" collapsed="false">
      <c r="A385" s="67"/>
      <c r="B385" s="68"/>
      <c r="C385" s="68"/>
      <c r="D385" s="67"/>
      <c r="E385" s="67"/>
      <c r="F385" s="67"/>
      <c r="G385" s="67"/>
      <c r="H385" s="67"/>
      <c r="I385" s="65" t="str">
        <f aca="false">IF(OR($B385="",$C385=""),"",$C385-$B385)</f>
        <v/>
      </c>
      <c r="J385" s="66" t="str">
        <f aca="false">IF($B385="","",IF(AND($B385&gt;=Targets!$C$7,$B385&lt;Targets!$C$8+1),"Yes","No"))</f>
        <v/>
      </c>
      <c r="K385" s="65" t="str">
        <f aca="false">IF($J385="Yes",$I385,"")</f>
        <v/>
      </c>
      <c r="L385" s="66" t="str">
        <f aca="false">IF($G385="","",IFERROR(INDEX($O$6:$O$25,MATCH($G385,$N$6:$N$25,0)),"Unknown dept"))</f>
        <v/>
      </c>
    </row>
    <row r="386" customFormat="false" ht="15" hidden="false" customHeight="true" outlineLevel="0" collapsed="false">
      <c r="A386" s="63"/>
      <c r="B386" s="64"/>
      <c r="C386" s="64"/>
      <c r="D386" s="63"/>
      <c r="E386" s="63"/>
      <c r="F386" s="63"/>
      <c r="G386" s="63"/>
      <c r="H386" s="63"/>
      <c r="I386" s="65" t="str">
        <f aca="false">IF(OR($B386="",$C386=""),"",$C386-$B386)</f>
        <v/>
      </c>
      <c r="J386" s="66" t="str">
        <f aca="false">IF($B386="","",IF(AND($B386&gt;=Targets!$C$7,$B386&lt;Targets!$C$8+1),"Yes","No"))</f>
        <v/>
      </c>
      <c r="K386" s="65" t="str">
        <f aca="false">IF($J386="Yes",$I386,"")</f>
        <v/>
      </c>
      <c r="L386" s="66" t="str">
        <f aca="false">IF($G386="","",IFERROR(INDEX($O$6:$O$25,MATCH($G386,$N$6:$N$25,0)),"Unknown dept"))</f>
        <v/>
      </c>
    </row>
    <row r="387" customFormat="false" ht="15" hidden="false" customHeight="true" outlineLevel="0" collapsed="false">
      <c r="A387" s="67"/>
      <c r="B387" s="68"/>
      <c r="C387" s="68"/>
      <c r="D387" s="67"/>
      <c r="E387" s="67"/>
      <c r="F387" s="67"/>
      <c r="G387" s="67"/>
      <c r="H387" s="67"/>
      <c r="I387" s="65" t="str">
        <f aca="false">IF(OR($B387="",$C387=""),"",$C387-$B387)</f>
        <v/>
      </c>
      <c r="J387" s="66" t="str">
        <f aca="false">IF($B387="","",IF(AND($B387&gt;=Targets!$C$7,$B387&lt;Targets!$C$8+1),"Yes","No"))</f>
        <v/>
      </c>
      <c r="K387" s="65" t="str">
        <f aca="false">IF($J387="Yes",$I387,"")</f>
        <v/>
      </c>
      <c r="L387" s="66" t="str">
        <f aca="false">IF($G387="","",IFERROR(INDEX($O$6:$O$25,MATCH($G387,$N$6:$N$25,0)),"Unknown dept"))</f>
        <v/>
      </c>
    </row>
    <row r="388" customFormat="false" ht="15" hidden="false" customHeight="true" outlineLevel="0" collapsed="false">
      <c r="A388" s="63"/>
      <c r="B388" s="64"/>
      <c r="C388" s="64"/>
      <c r="D388" s="63"/>
      <c r="E388" s="63"/>
      <c r="F388" s="63"/>
      <c r="G388" s="63"/>
      <c r="H388" s="63"/>
      <c r="I388" s="65" t="str">
        <f aca="false">IF(OR($B388="",$C388=""),"",$C388-$B388)</f>
        <v/>
      </c>
      <c r="J388" s="66" t="str">
        <f aca="false">IF($B388="","",IF(AND($B388&gt;=Targets!$C$7,$B388&lt;Targets!$C$8+1),"Yes","No"))</f>
        <v/>
      </c>
      <c r="K388" s="65" t="str">
        <f aca="false">IF($J388="Yes",$I388,"")</f>
        <v/>
      </c>
      <c r="L388" s="66" t="str">
        <f aca="false">IF($G388="","",IFERROR(INDEX($O$6:$O$25,MATCH($G388,$N$6:$N$25,0)),"Unknown dept"))</f>
        <v/>
      </c>
    </row>
    <row r="389" customFormat="false" ht="15" hidden="false" customHeight="true" outlineLevel="0" collapsed="false">
      <c r="A389" s="67"/>
      <c r="B389" s="68"/>
      <c r="C389" s="68"/>
      <c r="D389" s="67"/>
      <c r="E389" s="67"/>
      <c r="F389" s="67"/>
      <c r="G389" s="67"/>
      <c r="H389" s="67"/>
      <c r="I389" s="65" t="str">
        <f aca="false">IF(OR($B389="",$C389=""),"",$C389-$B389)</f>
        <v/>
      </c>
      <c r="J389" s="66" t="str">
        <f aca="false">IF($B389="","",IF(AND($B389&gt;=Targets!$C$7,$B389&lt;Targets!$C$8+1),"Yes","No"))</f>
        <v/>
      </c>
      <c r="K389" s="65" t="str">
        <f aca="false">IF($J389="Yes",$I389,"")</f>
        <v/>
      </c>
      <c r="L389" s="66" t="str">
        <f aca="false">IF($G389="","",IFERROR(INDEX($O$6:$O$25,MATCH($G389,$N$6:$N$25,0)),"Unknown dept"))</f>
        <v/>
      </c>
    </row>
    <row r="390" customFormat="false" ht="15" hidden="false" customHeight="true" outlineLevel="0" collapsed="false">
      <c r="A390" s="63"/>
      <c r="B390" s="64"/>
      <c r="C390" s="64"/>
      <c r="D390" s="63"/>
      <c r="E390" s="63"/>
      <c r="F390" s="63"/>
      <c r="G390" s="63"/>
      <c r="H390" s="63"/>
      <c r="I390" s="65" t="str">
        <f aca="false">IF(OR($B390="",$C390=""),"",$C390-$B390)</f>
        <v/>
      </c>
      <c r="J390" s="66" t="str">
        <f aca="false">IF($B390="","",IF(AND($B390&gt;=Targets!$C$7,$B390&lt;Targets!$C$8+1),"Yes","No"))</f>
        <v/>
      </c>
      <c r="K390" s="65" t="str">
        <f aca="false">IF($J390="Yes",$I390,"")</f>
        <v/>
      </c>
      <c r="L390" s="66" t="str">
        <f aca="false">IF($G390="","",IFERROR(INDEX($O$6:$O$25,MATCH($G390,$N$6:$N$25,0)),"Unknown dept"))</f>
        <v/>
      </c>
    </row>
    <row r="391" customFormat="false" ht="15" hidden="false" customHeight="true" outlineLevel="0" collapsed="false">
      <c r="A391" s="67"/>
      <c r="B391" s="68"/>
      <c r="C391" s="68"/>
      <c r="D391" s="67"/>
      <c r="E391" s="67"/>
      <c r="F391" s="67"/>
      <c r="G391" s="67"/>
      <c r="H391" s="67"/>
      <c r="I391" s="65" t="str">
        <f aca="false">IF(OR($B391="",$C391=""),"",$C391-$B391)</f>
        <v/>
      </c>
      <c r="J391" s="66" t="str">
        <f aca="false">IF($B391="","",IF(AND($B391&gt;=Targets!$C$7,$B391&lt;Targets!$C$8+1),"Yes","No"))</f>
        <v/>
      </c>
      <c r="K391" s="65" t="str">
        <f aca="false">IF($J391="Yes",$I391,"")</f>
        <v/>
      </c>
      <c r="L391" s="66" t="str">
        <f aca="false">IF($G391="","",IFERROR(INDEX($O$6:$O$25,MATCH($G391,$N$6:$N$25,0)),"Unknown dept"))</f>
        <v/>
      </c>
    </row>
    <row r="392" customFormat="false" ht="15" hidden="false" customHeight="true" outlineLevel="0" collapsed="false">
      <c r="A392" s="63"/>
      <c r="B392" s="64"/>
      <c r="C392" s="64"/>
      <c r="D392" s="63"/>
      <c r="E392" s="63"/>
      <c r="F392" s="63"/>
      <c r="G392" s="63"/>
      <c r="H392" s="63"/>
      <c r="I392" s="65" t="str">
        <f aca="false">IF(OR($B392="",$C392=""),"",$C392-$B392)</f>
        <v/>
      </c>
      <c r="J392" s="66" t="str">
        <f aca="false">IF($B392="","",IF(AND($B392&gt;=Targets!$C$7,$B392&lt;Targets!$C$8+1),"Yes","No"))</f>
        <v/>
      </c>
      <c r="K392" s="65" t="str">
        <f aca="false">IF($J392="Yes",$I392,"")</f>
        <v/>
      </c>
      <c r="L392" s="66" t="str">
        <f aca="false">IF($G392="","",IFERROR(INDEX($O$6:$O$25,MATCH($G392,$N$6:$N$25,0)),"Unknown dept"))</f>
        <v/>
      </c>
    </row>
    <row r="393" customFormat="false" ht="15" hidden="false" customHeight="true" outlineLevel="0" collapsed="false">
      <c r="A393" s="67"/>
      <c r="B393" s="68"/>
      <c r="C393" s="68"/>
      <c r="D393" s="67"/>
      <c r="E393" s="67"/>
      <c r="F393" s="67"/>
      <c r="G393" s="67"/>
      <c r="H393" s="67"/>
      <c r="I393" s="65" t="str">
        <f aca="false">IF(OR($B393="",$C393=""),"",$C393-$B393)</f>
        <v/>
      </c>
      <c r="J393" s="66" t="str">
        <f aca="false">IF($B393="","",IF(AND($B393&gt;=Targets!$C$7,$B393&lt;Targets!$C$8+1),"Yes","No"))</f>
        <v/>
      </c>
      <c r="K393" s="65" t="str">
        <f aca="false">IF($J393="Yes",$I393,"")</f>
        <v/>
      </c>
      <c r="L393" s="66" t="str">
        <f aca="false">IF($G393="","",IFERROR(INDEX($O$6:$O$25,MATCH($G393,$N$6:$N$25,0)),"Unknown dept"))</f>
        <v/>
      </c>
    </row>
    <row r="394" customFormat="false" ht="15" hidden="false" customHeight="true" outlineLevel="0" collapsed="false">
      <c r="A394" s="63"/>
      <c r="B394" s="64"/>
      <c r="C394" s="64"/>
      <c r="D394" s="63"/>
      <c r="E394" s="63"/>
      <c r="F394" s="63"/>
      <c r="G394" s="63"/>
      <c r="H394" s="63"/>
      <c r="I394" s="65" t="str">
        <f aca="false">IF(OR($B394="",$C394=""),"",$C394-$B394)</f>
        <v/>
      </c>
      <c r="J394" s="66" t="str">
        <f aca="false">IF($B394="","",IF(AND($B394&gt;=Targets!$C$7,$B394&lt;Targets!$C$8+1),"Yes","No"))</f>
        <v/>
      </c>
      <c r="K394" s="65" t="str">
        <f aca="false">IF($J394="Yes",$I394,"")</f>
        <v/>
      </c>
      <c r="L394" s="66" t="str">
        <f aca="false">IF($G394="","",IFERROR(INDEX($O$6:$O$25,MATCH($G394,$N$6:$N$25,0)),"Unknown dept"))</f>
        <v/>
      </c>
    </row>
    <row r="395" customFormat="false" ht="15" hidden="false" customHeight="true" outlineLevel="0" collapsed="false">
      <c r="A395" s="67"/>
      <c r="B395" s="68"/>
      <c r="C395" s="68"/>
      <c r="D395" s="67"/>
      <c r="E395" s="67"/>
      <c r="F395" s="67"/>
      <c r="G395" s="67"/>
      <c r="H395" s="67"/>
      <c r="I395" s="65" t="str">
        <f aca="false">IF(OR($B395="",$C395=""),"",$C395-$B395)</f>
        <v/>
      </c>
      <c r="J395" s="66" t="str">
        <f aca="false">IF($B395="","",IF(AND($B395&gt;=Targets!$C$7,$B395&lt;Targets!$C$8+1),"Yes","No"))</f>
        <v/>
      </c>
      <c r="K395" s="65" t="str">
        <f aca="false">IF($J395="Yes",$I395,"")</f>
        <v/>
      </c>
      <c r="L395" s="66" t="str">
        <f aca="false">IF($G395="","",IFERROR(INDEX($O$6:$O$25,MATCH($G395,$N$6:$N$25,0)),"Unknown dept"))</f>
        <v/>
      </c>
    </row>
    <row r="396" customFormat="false" ht="15" hidden="false" customHeight="true" outlineLevel="0" collapsed="false">
      <c r="A396" s="63"/>
      <c r="B396" s="64"/>
      <c r="C396" s="64"/>
      <c r="D396" s="63"/>
      <c r="E396" s="63"/>
      <c r="F396" s="63"/>
      <c r="G396" s="63"/>
      <c r="H396" s="63"/>
      <c r="I396" s="65" t="str">
        <f aca="false">IF(OR($B396="",$C396=""),"",$C396-$B396)</f>
        <v/>
      </c>
      <c r="J396" s="66" t="str">
        <f aca="false">IF($B396="","",IF(AND($B396&gt;=Targets!$C$7,$B396&lt;Targets!$C$8+1),"Yes","No"))</f>
        <v/>
      </c>
      <c r="K396" s="65" t="str">
        <f aca="false">IF($J396="Yes",$I396,"")</f>
        <v/>
      </c>
      <c r="L396" s="66" t="str">
        <f aca="false">IF($G396="","",IFERROR(INDEX($O$6:$O$25,MATCH($G396,$N$6:$N$25,0)),"Unknown dept"))</f>
        <v/>
      </c>
    </row>
    <row r="397" customFormat="false" ht="15" hidden="false" customHeight="true" outlineLevel="0" collapsed="false">
      <c r="A397" s="67"/>
      <c r="B397" s="68"/>
      <c r="C397" s="68"/>
      <c r="D397" s="67"/>
      <c r="E397" s="67"/>
      <c r="F397" s="67"/>
      <c r="G397" s="67"/>
      <c r="H397" s="67"/>
      <c r="I397" s="65" t="str">
        <f aca="false">IF(OR($B397="",$C397=""),"",$C397-$B397)</f>
        <v/>
      </c>
      <c r="J397" s="66" t="str">
        <f aca="false">IF($B397="","",IF(AND($B397&gt;=Targets!$C$7,$B397&lt;Targets!$C$8+1),"Yes","No"))</f>
        <v/>
      </c>
      <c r="K397" s="65" t="str">
        <f aca="false">IF($J397="Yes",$I397,"")</f>
        <v/>
      </c>
      <c r="L397" s="66" t="str">
        <f aca="false">IF($G397="","",IFERROR(INDEX($O$6:$O$25,MATCH($G397,$N$6:$N$25,0)),"Unknown dept"))</f>
        <v/>
      </c>
    </row>
    <row r="398" customFormat="false" ht="15" hidden="false" customHeight="true" outlineLevel="0" collapsed="false">
      <c r="A398" s="63"/>
      <c r="B398" s="64"/>
      <c r="C398" s="64"/>
      <c r="D398" s="63"/>
      <c r="E398" s="63"/>
      <c r="F398" s="63"/>
      <c r="G398" s="63"/>
      <c r="H398" s="63"/>
      <c r="I398" s="65" t="str">
        <f aca="false">IF(OR($B398="",$C398=""),"",$C398-$B398)</f>
        <v/>
      </c>
      <c r="J398" s="66" t="str">
        <f aca="false">IF($B398="","",IF(AND($B398&gt;=Targets!$C$7,$B398&lt;Targets!$C$8+1),"Yes","No"))</f>
        <v/>
      </c>
      <c r="K398" s="65" t="str">
        <f aca="false">IF($J398="Yes",$I398,"")</f>
        <v/>
      </c>
      <c r="L398" s="66" t="str">
        <f aca="false">IF($G398="","",IFERROR(INDEX($O$6:$O$25,MATCH($G398,$N$6:$N$25,0)),"Unknown dept"))</f>
        <v/>
      </c>
    </row>
    <row r="399" customFormat="false" ht="15" hidden="false" customHeight="true" outlineLevel="0" collapsed="false">
      <c r="A399" s="67"/>
      <c r="B399" s="68"/>
      <c r="C399" s="68"/>
      <c r="D399" s="67"/>
      <c r="E399" s="67"/>
      <c r="F399" s="67"/>
      <c r="G399" s="67"/>
      <c r="H399" s="67"/>
      <c r="I399" s="65" t="str">
        <f aca="false">IF(OR($B399="",$C399=""),"",$C399-$B399)</f>
        <v/>
      </c>
      <c r="J399" s="66" t="str">
        <f aca="false">IF($B399="","",IF(AND($B399&gt;=Targets!$C$7,$B399&lt;Targets!$C$8+1),"Yes","No"))</f>
        <v/>
      </c>
      <c r="K399" s="65" t="str">
        <f aca="false">IF($J399="Yes",$I399,"")</f>
        <v/>
      </c>
      <c r="L399" s="66" t="str">
        <f aca="false">IF($G399="","",IFERROR(INDEX($O$6:$O$25,MATCH($G399,$N$6:$N$25,0)),"Unknown dept"))</f>
        <v/>
      </c>
    </row>
    <row r="400" customFormat="false" ht="15" hidden="false" customHeight="true" outlineLevel="0" collapsed="false">
      <c r="A400" s="63"/>
      <c r="B400" s="64"/>
      <c r="C400" s="64"/>
      <c r="D400" s="63"/>
      <c r="E400" s="63"/>
      <c r="F400" s="63"/>
      <c r="G400" s="63"/>
      <c r="H400" s="63"/>
      <c r="I400" s="65" t="str">
        <f aca="false">IF(OR($B400="",$C400=""),"",$C400-$B400)</f>
        <v/>
      </c>
      <c r="J400" s="66" t="str">
        <f aca="false">IF($B400="","",IF(AND($B400&gt;=Targets!$C$7,$B400&lt;Targets!$C$8+1),"Yes","No"))</f>
        <v/>
      </c>
      <c r="K400" s="65" t="str">
        <f aca="false">IF($J400="Yes",$I400,"")</f>
        <v/>
      </c>
      <c r="L400" s="66" t="str">
        <f aca="false">IF($G400="","",IFERROR(INDEX($O$6:$O$25,MATCH($G400,$N$6:$N$25,0)),"Unknown dept"))</f>
        <v/>
      </c>
    </row>
    <row r="401" customFormat="false" ht="15" hidden="false" customHeight="true" outlineLevel="0" collapsed="false">
      <c r="A401" s="67"/>
      <c r="B401" s="68"/>
      <c r="C401" s="68"/>
      <c r="D401" s="67"/>
      <c r="E401" s="67"/>
      <c r="F401" s="67"/>
      <c r="G401" s="67"/>
      <c r="H401" s="67"/>
      <c r="I401" s="65" t="str">
        <f aca="false">IF(OR($B401="",$C401=""),"",$C401-$B401)</f>
        <v/>
      </c>
      <c r="J401" s="66" t="str">
        <f aca="false">IF($B401="","",IF(AND($B401&gt;=Targets!$C$7,$B401&lt;Targets!$C$8+1),"Yes","No"))</f>
        <v/>
      </c>
      <c r="K401" s="65" t="str">
        <f aca="false">IF($J401="Yes",$I401,"")</f>
        <v/>
      </c>
      <c r="L401" s="66" t="str">
        <f aca="false">IF($G401="","",IFERROR(INDEX($O$6:$O$25,MATCH($G401,$N$6:$N$25,0)),"Unknown dept"))</f>
        <v/>
      </c>
    </row>
    <row r="402" customFormat="false" ht="15" hidden="false" customHeight="true" outlineLevel="0" collapsed="false">
      <c r="A402" s="63"/>
      <c r="B402" s="64"/>
      <c r="C402" s="64"/>
      <c r="D402" s="63"/>
      <c r="E402" s="63"/>
      <c r="F402" s="63"/>
      <c r="G402" s="63"/>
      <c r="H402" s="63"/>
      <c r="I402" s="65" t="str">
        <f aca="false">IF(OR($B402="",$C402=""),"",$C402-$B402)</f>
        <v/>
      </c>
      <c r="J402" s="66" t="str">
        <f aca="false">IF($B402="","",IF(AND($B402&gt;=Targets!$C$7,$B402&lt;Targets!$C$8+1),"Yes","No"))</f>
        <v/>
      </c>
      <c r="K402" s="65" t="str">
        <f aca="false">IF($J402="Yes",$I402,"")</f>
        <v/>
      </c>
      <c r="L402" s="66" t="str">
        <f aca="false">IF($G402="","",IFERROR(INDEX($O$6:$O$25,MATCH($G402,$N$6:$N$25,0)),"Unknown dept"))</f>
        <v/>
      </c>
    </row>
    <row r="403" customFormat="false" ht="15" hidden="false" customHeight="true" outlineLevel="0" collapsed="false">
      <c r="A403" s="67"/>
      <c r="B403" s="68"/>
      <c r="C403" s="68"/>
      <c r="D403" s="67"/>
      <c r="E403" s="67"/>
      <c r="F403" s="67"/>
      <c r="G403" s="67"/>
      <c r="H403" s="67"/>
      <c r="I403" s="65" t="str">
        <f aca="false">IF(OR($B403="",$C403=""),"",$C403-$B403)</f>
        <v/>
      </c>
      <c r="J403" s="66" t="str">
        <f aca="false">IF($B403="","",IF(AND($B403&gt;=Targets!$C$7,$B403&lt;Targets!$C$8+1),"Yes","No"))</f>
        <v/>
      </c>
      <c r="K403" s="65" t="str">
        <f aca="false">IF($J403="Yes",$I403,"")</f>
        <v/>
      </c>
      <c r="L403" s="66" t="str">
        <f aca="false">IF($G403="","",IFERROR(INDEX($O$6:$O$25,MATCH($G403,$N$6:$N$25,0)),"Unknown dept"))</f>
        <v/>
      </c>
    </row>
    <row r="404" customFormat="false" ht="15" hidden="false" customHeight="true" outlineLevel="0" collapsed="false">
      <c r="A404" s="63"/>
      <c r="B404" s="64"/>
      <c r="C404" s="64"/>
      <c r="D404" s="63"/>
      <c r="E404" s="63"/>
      <c r="F404" s="63"/>
      <c r="G404" s="63"/>
      <c r="H404" s="63"/>
      <c r="I404" s="65" t="str">
        <f aca="false">IF(OR($B404="",$C404=""),"",$C404-$B404)</f>
        <v/>
      </c>
      <c r="J404" s="66" t="str">
        <f aca="false">IF($B404="","",IF(AND($B404&gt;=Targets!$C$7,$B404&lt;Targets!$C$8+1),"Yes","No"))</f>
        <v/>
      </c>
      <c r="K404" s="65" t="str">
        <f aca="false">IF($J404="Yes",$I404,"")</f>
        <v/>
      </c>
      <c r="L404" s="66" t="str">
        <f aca="false">IF($G404="","",IFERROR(INDEX($O$6:$O$25,MATCH($G404,$N$6:$N$25,0)),"Unknown dept"))</f>
        <v/>
      </c>
    </row>
  </sheetData>
  <conditionalFormatting sqref="L6:L404">
    <cfRule type="cellIs" priority="2" operator="equal" aboveAverage="0" equalAverage="0" bottom="0" percent="0" rank="0" text="" dxfId="7">
      <formula>"Unknown dept"</formula>
    </cfRule>
  </conditionalFormatting>
  <dataValidations count="3">
    <dataValidation allowBlank="true" errorStyle="stop" operator="between" showDropDown="false" showErrorMessage="false" showInputMessage="false" sqref="D6:D404" type="list">
      <formula1>"Self-serve,Became a matter,Referred out"</formula1>
      <formula2>0</formula2>
    </dataValidation>
    <dataValidation allowBlank="true" errorStyle="stop" operator="between" showDropDown="false" showErrorMessage="false" showInputMessage="false" sqref="E6:E404" type="list">
      <formula1>"Yes,No"</formula1>
      <formula2>0</formula2>
    </dataValidation>
    <dataValidation allowBlank="true" errorStyle="stop" operator="between" showDropDown="false" showErrorMessage="false" showInputMessage="false" sqref="G6:G404" type="list">
      <formula1>$N$6:$N$25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B5563"/>
    <pageSetUpPr fitToPage="true"/>
  </sheetPr>
  <dimension ref="A1:T6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34"/>
    <col collapsed="false" customWidth="true" hidden="false" outlineLevel="0" max="3" min="3" style="1" width="27"/>
    <col collapsed="false" customWidth="true" hidden="false" outlineLevel="0" max="4" min="4" style="1" width="40"/>
    <col collapsed="false" customWidth="true" hidden="false" outlineLevel="0" max="5" min="5" style="1" width="15"/>
    <col collapsed="false" customWidth="true" hidden="false" outlineLevel="0" max="6" min="6" style="1" width="12"/>
    <col collapsed="false" customWidth="true" hidden="false" outlineLevel="0" max="8" min="7" style="1" width="11"/>
    <col collapsed="false" customWidth="true" hidden="false" outlineLevel="0" max="9" min="9" style="1" width="12"/>
    <col collapsed="false" customWidth="true" hidden="false" outlineLevel="0" max="11" min="10" style="1" width="17"/>
    <col collapsed="false" customWidth="true" hidden="false" outlineLevel="0" max="12" min="12" style="1" width="15"/>
    <col collapsed="false" customWidth="true" hidden="false" outlineLevel="0" max="13" min="13" style="1" width="12"/>
    <col collapsed="false" customWidth="true" hidden="false" outlineLevel="0" max="14" min="14" style="1" width="10"/>
    <col collapsed="false" customWidth="true" hidden="false" outlineLevel="0" max="16" min="15" style="1" width="12"/>
    <col collapsed="false" customWidth="true" hidden="false" outlineLevel="0" max="17" min="17" style="1" width="13"/>
    <col collapsed="false" customWidth="true" hidden="false" outlineLevel="0" max="18" min="18" style="1" width="15"/>
    <col collapsed="false" customWidth="true" hidden="false" outlineLevel="0" max="19" min="19" style="1" width="42"/>
    <col collapsed="false" customWidth="true" hidden="false" outlineLevel="0" max="20" min="20" style="1" width="16"/>
  </cols>
  <sheetData>
    <row r="1" customFormat="false" ht="21.75" hidden="false" customHeight="true" outlineLevel="0" collapsed="false">
      <c r="A1" s="31" t="s">
        <v>30</v>
      </c>
    </row>
    <row r="2" customFormat="false" ht="15" hidden="false" customHeight="true" outlineLevel="0" collapsed="false">
      <c r="A2" s="32" t="s">
        <v>423</v>
      </c>
    </row>
    <row r="3" customFormat="false" ht="15" hidden="false" customHeight="true" outlineLevel="0" collapsed="false">
      <c r="A3" s="60" t="s">
        <v>424</v>
      </c>
    </row>
    <row r="4" customFormat="false" ht="15" hidden="false" customHeight="true" outlineLevel="0" collapsed="false">
      <c r="A4" s="30" t="s">
        <v>161</v>
      </c>
      <c r="M4" s="61" t="s">
        <v>162</v>
      </c>
    </row>
    <row r="5" customFormat="false" ht="30" hidden="false" customHeight="true" outlineLevel="0" collapsed="false">
      <c r="A5" s="8" t="s">
        <v>425</v>
      </c>
      <c r="B5" s="8" t="s">
        <v>426</v>
      </c>
      <c r="C5" s="8" t="s">
        <v>427</v>
      </c>
      <c r="D5" s="8" t="s">
        <v>428</v>
      </c>
      <c r="E5" s="8" t="s">
        <v>429</v>
      </c>
      <c r="F5" s="8" t="s">
        <v>430</v>
      </c>
      <c r="G5" s="8" t="s">
        <v>431</v>
      </c>
      <c r="H5" s="8" t="s">
        <v>432</v>
      </c>
      <c r="I5" s="8" t="s">
        <v>433</v>
      </c>
      <c r="J5" s="8" t="s">
        <v>434</v>
      </c>
      <c r="K5" s="8" t="s">
        <v>435</v>
      </c>
      <c r="L5" s="8" t="s">
        <v>436</v>
      </c>
      <c r="M5" s="50" t="s">
        <v>437</v>
      </c>
      <c r="N5" s="50" t="s">
        <v>438</v>
      </c>
      <c r="O5" s="50" t="s">
        <v>439</v>
      </c>
      <c r="P5" s="50" t="s">
        <v>440</v>
      </c>
      <c r="Q5" s="50" t="s">
        <v>441</v>
      </c>
      <c r="R5" s="50" t="s">
        <v>442</v>
      </c>
      <c r="S5" s="50" t="s">
        <v>443</v>
      </c>
      <c r="T5" s="50" t="s">
        <v>444</v>
      </c>
    </row>
    <row r="6" customFormat="false" ht="15" hidden="false" customHeight="true" outlineLevel="0" collapsed="false">
      <c r="A6" s="63" t="s">
        <v>286</v>
      </c>
      <c r="B6" s="63" t="s">
        <v>445</v>
      </c>
      <c r="C6" s="63" t="s">
        <v>446</v>
      </c>
      <c r="D6" s="63" t="s">
        <v>447</v>
      </c>
      <c r="E6" s="63" t="str">
        <f aca="false">IF($A6="","",IFERROR(INDEX('Status map'!$D$6:$D$64,MATCH($C6&amp;" | "&amp;$D6,'Status map'!$I$6:$I$64,0)),"Unmapped"))</f>
        <v>Intake</v>
      </c>
      <c r="F6" s="63" t="s">
        <v>448</v>
      </c>
      <c r="G6" s="69" t="n">
        <v>46257</v>
      </c>
      <c r="H6" s="69"/>
      <c r="I6" s="69" t="n">
        <v>46240</v>
      </c>
      <c r="J6" s="63" t="s">
        <v>449</v>
      </c>
      <c r="K6" s="63" t="s">
        <v>450</v>
      </c>
      <c r="L6" s="63" t="s">
        <v>451</v>
      </c>
      <c r="M6" s="66" t="n">
        <f aca="false">IF(OR($A6="",$H6&lt;&gt;""),"",Targets!$C$8-$I6)</f>
        <v>25</v>
      </c>
      <c r="N6" s="66" t="str">
        <f aca="false">IF($A6="","",IF(AND($F6="Project",$E6="Active",$M6&lt;&gt;"",$M6&gt;Targets!$C$12),"Yes","No"))</f>
        <v>No</v>
      </c>
      <c r="O6" s="66" t="str">
        <f aca="false">IF($A6="","",IF(AND($G6&gt;=Targets!$C$7,$G6&lt;=Targets!$C$8),"Yes","No"))</f>
        <v>Yes</v>
      </c>
      <c r="P6" s="66" t="str">
        <f aca="false">IF($A6="","",IF(AND($H6&lt;&gt;"",$H6&gt;=Targets!$C$7,$H6&lt;=Targets!$C$8),"Yes","No"))</f>
        <v>No</v>
      </c>
      <c r="Q6" s="66" t="str">
        <f aca="false">IF($A6="","",IF(AND($F6="Project",$E6&lt;&gt;"Closed",$E6&lt;&gt;"Dormant"),"Yes","No"))</f>
        <v>Yes</v>
      </c>
      <c r="R6" s="66" t="str">
        <f aca="false">IF($A6="","",IF(AND($L6="In-house",OR($E6="Intake",$E6="Active",$E6="Waiting")),"Yes","No"))</f>
        <v>Yes</v>
      </c>
      <c r="S6" s="66" t="str">
        <f aca="false">IF($A6="","",$C6&amp;" | "&amp;$D6)</f>
        <v>Employment | Complaint or claim received</v>
      </c>
      <c r="T6" s="66" t="str">
        <f aca="false">IF($A6="","",IF(AND($L6="Outside provider",OR($E6="Intake",$E6="Active",$E6="Waiting")),"Yes","No"))</f>
        <v>No</v>
      </c>
    </row>
    <row r="7" customFormat="false" ht="15" hidden="false" customHeight="true" outlineLevel="0" collapsed="false">
      <c r="A7" s="67" t="s">
        <v>452</v>
      </c>
      <c r="B7" s="67" t="s">
        <v>453</v>
      </c>
      <c r="C7" s="67" t="s">
        <v>454</v>
      </c>
      <c r="D7" s="67" t="s">
        <v>455</v>
      </c>
      <c r="E7" s="67" t="str">
        <f aca="false">IF($A7="","",IFERROR(INDEX('Status map'!$D$6:$D$64,MATCH($C7&amp;" | "&amp;$D7,'Status map'!$I$6:$I$64,0)),"Unmapped"))</f>
        <v>Closed</v>
      </c>
      <c r="F7" s="67" t="s">
        <v>448</v>
      </c>
      <c r="G7" s="70" t="n">
        <v>46017</v>
      </c>
      <c r="H7" s="70" t="n">
        <v>46236</v>
      </c>
      <c r="I7" s="70" t="n">
        <v>46236</v>
      </c>
      <c r="J7" s="67" t="s">
        <v>449</v>
      </c>
      <c r="K7" s="67" t="s">
        <v>456</v>
      </c>
      <c r="L7" s="67" t="s">
        <v>451</v>
      </c>
      <c r="M7" s="66" t="str">
        <f aca="false">IF(OR($A7="",$H7&lt;&gt;""),"",Targets!$C$8-$I7)</f>
        <v/>
      </c>
      <c r="N7" s="66" t="str">
        <f aca="false">IF($A7="","",IF(AND($F7="Project",$E7="Active",$M7&lt;&gt;"",$M7&gt;Targets!$C$12),"Yes","No"))</f>
        <v>No</v>
      </c>
      <c r="O7" s="66" t="str">
        <f aca="false">IF($A7="","",IF(AND($G7&gt;=Targets!$C$7,$G7&lt;=Targets!$C$8),"Yes","No"))</f>
        <v>No</v>
      </c>
      <c r="P7" s="66" t="str">
        <f aca="false">IF($A7="","",IF(AND($H7&lt;&gt;"",$H7&gt;=Targets!$C$7,$H7&lt;=Targets!$C$8),"Yes","No"))</f>
        <v>Yes</v>
      </c>
      <c r="Q7" s="66" t="str">
        <f aca="false">IF($A7="","",IF(AND($F7="Project",$E7&lt;&gt;"Closed",$E7&lt;&gt;"Dormant"),"Yes","No"))</f>
        <v>No</v>
      </c>
      <c r="R7" s="66" t="str">
        <f aca="false">IF($A7="","",IF(AND($L7="In-house",OR($E7="Intake",$E7="Active",$E7="Waiting")),"Yes","No"))</f>
        <v>No</v>
      </c>
      <c r="S7" s="66" t="str">
        <f aca="false">IF($A7="","",$C7&amp;" | "&amp;$D7)</f>
        <v>Litigation | Settled, dismissed, or judgment entered</v>
      </c>
      <c r="T7" s="66" t="str">
        <f aca="false">IF($A7="","",IF(AND($L7="Outside provider",OR($E7="Intake",$E7="Active",$E7="Waiting")),"Yes","No"))</f>
        <v>No</v>
      </c>
    </row>
    <row r="8" customFormat="false" ht="15" hidden="false" customHeight="true" outlineLevel="0" collapsed="false">
      <c r="A8" s="63" t="s">
        <v>457</v>
      </c>
      <c r="B8" s="63" t="s">
        <v>458</v>
      </c>
      <c r="C8" s="63" t="s">
        <v>459</v>
      </c>
      <c r="D8" s="63" t="s">
        <v>460</v>
      </c>
      <c r="E8" s="63" t="str">
        <f aca="false">IF($A8="","",IFERROR(INDEX('Status map'!$D$6:$D$64,MATCH($C8&amp;" | "&amp;$D8,'Status map'!$I$6:$I$64,0)),"Unmapped"))</f>
        <v>Waiting</v>
      </c>
      <c r="F8" s="63" t="s">
        <v>448</v>
      </c>
      <c r="G8" s="69" t="n">
        <v>45866</v>
      </c>
      <c r="H8" s="69"/>
      <c r="I8" s="69" t="n">
        <v>46250</v>
      </c>
      <c r="J8" s="63" t="s">
        <v>461</v>
      </c>
      <c r="K8" s="63" t="s">
        <v>462</v>
      </c>
      <c r="L8" s="63" t="s">
        <v>451</v>
      </c>
      <c r="M8" s="66" t="n">
        <f aca="false">IF(OR($A8="",$H8&lt;&gt;""),"",Targets!$C$8-$I8)</f>
        <v>15</v>
      </c>
      <c r="N8" s="66" t="str">
        <f aca="false">IF($A8="","",IF(AND($F8="Project",$E8="Active",$M8&lt;&gt;"",$M8&gt;Targets!$C$12),"Yes","No"))</f>
        <v>No</v>
      </c>
      <c r="O8" s="66" t="str">
        <f aca="false">IF($A8="","",IF(AND($G8&gt;=Targets!$C$7,$G8&lt;=Targets!$C$8),"Yes","No"))</f>
        <v>No</v>
      </c>
      <c r="P8" s="66" t="str">
        <f aca="false">IF($A8="","",IF(AND($H8&lt;&gt;"",$H8&gt;=Targets!$C$7,$H8&lt;=Targets!$C$8),"Yes","No"))</f>
        <v>No</v>
      </c>
      <c r="Q8" s="66" t="str">
        <f aca="false">IF($A8="","",IF(AND($F8="Project",$E8&lt;&gt;"Closed",$E8&lt;&gt;"Dormant"),"Yes","No"))</f>
        <v>Yes</v>
      </c>
      <c r="R8" s="66" t="str">
        <f aca="false">IF($A8="","",IF(AND($L8="In-house",OR($E8="Intake",$E8="Active",$E8="Waiting")),"Yes","No"))</f>
        <v>Yes</v>
      </c>
      <c r="S8" s="66" t="str">
        <f aca="false">IF($A8="","",$C8&amp;" | "&amp;$D8)</f>
        <v>Contracts | Out for signature or awaiting the counterparty</v>
      </c>
      <c r="T8" s="66" t="str">
        <f aca="false">IF($A8="","",IF(AND($L8="Outside provider",OR($E8="Intake",$E8="Active",$E8="Waiting")),"Yes","No"))</f>
        <v>No</v>
      </c>
    </row>
    <row r="9" customFormat="false" ht="15" hidden="false" customHeight="true" outlineLevel="0" collapsed="false">
      <c r="A9" s="67" t="s">
        <v>463</v>
      </c>
      <c r="B9" s="67" t="s">
        <v>464</v>
      </c>
      <c r="C9" s="67" t="s">
        <v>465</v>
      </c>
      <c r="D9" s="67" t="s">
        <v>466</v>
      </c>
      <c r="E9" s="67" t="str">
        <f aca="false">IF($A9="","",IFERROR(INDEX('Status map'!$D$6:$D$64,MATCH($C9&amp;" | "&amp;$D9,'Status map'!$I$6:$I$64,0)),"Unmapped"))</f>
        <v>Closed</v>
      </c>
      <c r="F9" s="67" t="s">
        <v>448</v>
      </c>
      <c r="G9" s="70" t="n">
        <v>46009</v>
      </c>
      <c r="H9" s="70" t="n">
        <v>46064</v>
      </c>
      <c r="I9" s="70" t="n">
        <v>46064</v>
      </c>
      <c r="J9" s="67" t="s">
        <v>449</v>
      </c>
      <c r="K9" s="67" t="s">
        <v>450</v>
      </c>
      <c r="L9" s="67" t="s">
        <v>451</v>
      </c>
      <c r="M9" s="66" t="str">
        <f aca="false">IF(OR($A9="",$H9&lt;&gt;""),"",Targets!$C$8-$I9)</f>
        <v/>
      </c>
      <c r="N9" s="66" t="str">
        <f aca="false">IF($A9="","",IF(AND($F9="Project",$E9="Active",$M9&lt;&gt;"",$M9&gt;Targets!$C$12),"Yes","No"))</f>
        <v>No</v>
      </c>
      <c r="O9" s="66" t="str">
        <f aca="false">IF($A9="","",IF(AND($G9&gt;=Targets!$C$7,$G9&lt;=Targets!$C$8),"Yes","No"))</f>
        <v>No</v>
      </c>
      <c r="P9" s="66" t="str">
        <f aca="false">IF($A9="","",IF(AND($H9&lt;&gt;"",$H9&gt;=Targets!$C$7,$H9&lt;=Targets!$C$8),"Yes","No"))</f>
        <v>No</v>
      </c>
      <c r="Q9" s="66" t="str">
        <f aca="false">IF($A9="","",IF(AND($F9="Project",$E9&lt;&gt;"Closed",$E9&lt;&gt;"Dormant"),"Yes","No"))</f>
        <v>No</v>
      </c>
      <c r="R9" s="66" t="str">
        <f aca="false">IF($A9="","",IF(AND($L9="In-house",OR($E9="Intake",$E9="Active",$E9="Waiting")),"Yes","No"))</f>
        <v>No</v>
      </c>
      <c r="S9" s="66" t="str">
        <f aca="false">IF($A9="","",$C9&amp;" | "&amp;$D9)</f>
        <v>Immigration and visas | Denied or withdrawn</v>
      </c>
      <c r="T9" s="66" t="str">
        <f aca="false">IF($A9="","",IF(AND($L9="Outside provider",OR($E9="Intake",$E9="Active",$E9="Waiting")),"Yes","No"))</f>
        <v>No</v>
      </c>
    </row>
    <row r="10" customFormat="false" ht="15" hidden="false" customHeight="true" outlineLevel="0" collapsed="false">
      <c r="A10" s="63" t="s">
        <v>467</v>
      </c>
      <c r="B10" s="63" t="s">
        <v>468</v>
      </c>
      <c r="C10" s="63" t="s">
        <v>465</v>
      </c>
      <c r="D10" s="63" t="s">
        <v>469</v>
      </c>
      <c r="E10" s="63" t="str">
        <f aca="false">IF($A10="","",IFERROR(INDEX('Status map'!$D$6:$D$64,MATCH($C10&amp;" | "&amp;$D10,'Status map'!$I$6:$I$64,0)),"Unmapped"))</f>
        <v>Active</v>
      </c>
      <c r="F10" s="63" t="s">
        <v>448</v>
      </c>
      <c r="G10" s="69" t="n">
        <v>46156</v>
      </c>
      <c r="H10" s="69"/>
      <c r="I10" s="69" t="n">
        <v>46255</v>
      </c>
      <c r="J10" s="63" t="s">
        <v>470</v>
      </c>
      <c r="K10" s="63" t="s">
        <v>462</v>
      </c>
      <c r="L10" s="63" t="s">
        <v>451</v>
      </c>
      <c r="M10" s="66" t="n">
        <f aca="false">IF(OR($A10="",$H10&lt;&gt;""),"",Targets!$C$8-$I10)</f>
        <v>10</v>
      </c>
      <c r="N10" s="66" t="str">
        <f aca="false">IF($A10="","",IF(AND($F10="Project",$E10="Active",$M10&lt;&gt;"",$M10&gt;Targets!$C$12),"Yes","No"))</f>
        <v>No</v>
      </c>
      <c r="O10" s="66" t="str">
        <f aca="false">IF($A10="","",IF(AND($G10&gt;=Targets!$C$7,$G10&lt;=Targets!$C$8),"Yes","No"))</f>
        <v>No</v>
      </c>
      <c r="P10" s="66" t="str">
        <f aca="false">IF($A10="","",IF(AND($H10&lt;&gt;"",$H10&gt;=Targets!$C$7,$H10&lt;=Targets!$C$8),"Yes","No"))</f>
        <v>No</v>
      </c>
      <c r="Q10" s="66" t="str">
        <f aca="false">IF($A10="","",IF(AND($F10="Project",$E10&lt;&gt;"Closed",$E10&lt;&gt;"Dormant"),"Yes","No"))</f>
        <v>Yes</v>
      </c>
      <c r="R10" s="66" t="str">
        <f aca="false">IF($A10="","",IF(AND($L10="In-house",OR($E10="Intake",$E10="Active",$E10="Waiting")),"Yes","No"))</f>
        <v>Yes</v>
      </c>
      <c r="S10" s="66" t="str">
        <f aca="false">IF($A10="","",$C10&amp;" | "&amp;$D10)</f>
        <v>Immigration and visas | Petition or an evidence response being prepared</v>
      </c>
      <c r="T10" s="66" t="str">
        <f aca="false">IF($A10="","",IF(AND($L10="Outside provider",OR($E10="Intake",$E10="Active",$E10="Waiting")),"Yes","No"))</f>
        <v>No</v>
      </c>
    </row>
    <row r="11" customFormat="false" ht="15" hidden="false" customHeight="true" outlineLevel="0" collapsed="false">
      <c r="A11" s="67" t="s">
        <v>471</v>
      </c>
      <c r="B11" s="67" t="s">
        <v>472</v>
      </c>
      <c r="C11" s="67" t="s">
        <v>446</v>
      </c>
      <c r="D11" s="67" t="s">
        <v>473</v>
      </c>
      <c r="E11" s="67" t="str">
        <f aca="false">IF($A11="","",IFERROR(INDEX('Status map'!$D$6:$D$64,MATCH($C11&amp;" | "&amp;$D11,'Status map'!$I$6:$I$64,0)),"Unmapped"))</f>
        <v>Closed</v>
      </c>
      <c r="F11" s="67" t="s">
        <v>448</v>
      </c>
      <c r="G11" s="70" t="n">
        <v>45803</v>
      </c>
      <c r="H11" s="70" t="n">
        <v>45946</v>
      </c>
      <c r="I11" s="70" t="n">
        <v>45946</v>
      </c>
      <c r="J11" s="67" t="s">
        <v>474</v>
      </c>
      <c r="K11" s="67" t="s">
        <v>474</v>
      </c>
      <c r="L11" s="67" t="s">
        <v>451</v>
      </c>
      <c r="M11" s="66" t="str">
        <f aca="false">IF(OR($A11="",$H11&lt;&gt;""),"",Targets!$C$8-$I11)</f>
        <v/>
      </c>
      <c r="N11" s="66" t="str">
        <f aca="false">IF($A11="","",IF(AND($F11="Project",$E11="Active",$M11&lt;&gt;"",$M11&gt;Targets!$C$12),"Yes","No"))</f>
        <v>No</v>
      </c>
      <c r="O11" s="66" t="str">
        <f aca="false">IF($A11="","",IF(AND($G11&gt;=Targets!$C$7,$G11&lt;=Targets!$C$8),"Yes","No"))</f>
        <v>No</v>
      </c>
      <c r="P11" s="66" t="str">
        <f aca="false">IF($A11="","",IF(AND($H11&lt;&gt;"",$H11&gt;=Targets!$C$7,$H11&lt;=Targets!$C$8),"Yes","No"))</f>
        <v>No</v>
      </c>
      <c r="Q11" s="66" t="str">
        <f aca="false">IF($A11="","",IF(AND($F11="Project",$E11&lt;&gt;"Closed",$E11&lt;&gt;"Dormant"),"Yes","No"))</f>
        <v>No</v>
      </c>
      <c r="R11" s="66" t="str">
        <f aca="false">IF($A11="","",IF(AND($L11="In-house",OR($E11="Intake",$E11="Active",$E11="Waiting")),"Yes","No"))</f>
        <v>No</v>
      </c>
      <c r="S11" s="66" t="str">
        <f aca="false">IF($A11="","",$C11&amp;" | "&amp;$D11)</f>
        <v>Employment | Resolved or closed</v>
      </c>
      <c r="T11" s="66" t="str">
        <f aca="false">IF($A11="","",IF(AND($L11="Outside provider",OR($E11="Intake",$E11="Active",$E11="Waiting")),"Yes","No"))</f>
        <v>No</v>
      </c>
    </row>
    <row r="12" customFormat="false" ht="15" hidden="false" customHeight="true" outlineLevel="0" collapsed="false">
      <c r="A12" s="63" t="s">
        <v>475</v>
      </c>
      <c r="B12" s="63" t="s">
        <v>476</v>
      </c>
      <c r="C12" s="63" t="s">
        <v>465</v>
      </c>
      <c r="D12" s="63" t="s">
        <v>469</v>
      </c>
      <c r="E12" s="63" t="str">
        <f aca="false">IF($A12="","",IFERROR(INDEX('Status map'!$D$6:$D$64,MATCH($C12&amp;" | "&amp;$D12,'Status map'!$I$6:$I$64,0)),"Unmapped"))</f>
        <v>Active</v>
      </c>
      <c r="F12" s="63" t="s">
        <v>448</v>
      </c>
      <c r="G12" s="69" t="n">
        <v>45971</v>
      </c>
      <c r="H12" s="69"/>
      <c r="I12" s="69" t="n">
        <v>46210</v>
      </c>
      <c r="J12" s="63" t="s">
        <v>450</v>
      </c>
      <c r="K12" s="63" t="s">
        <v>462</v>
      </c>
      <c r="L12" s="63" t="s">
        <v>451</v>
      </c>
      <c r="M12" s="66" t="n">
        <f aca="false">IF(OR($A12="",$H12&lt;&gt;""),"",Targets!$C$8-$I12)</f>
        <v>55</v>
      </c>
      <c r="N12" s="66" t="str">
        <f aca="false">IF($A12="","",IF(AND($F12="Project",$E12="Active",$M12&lt;&gt;"",$M12&gt;Targets!$C$12),"Yes","No"))</f>
        <v>Yes</v>
      </c>
      <c r="O12" s="66" t="str">
        <f aca="false">IF($A12="","",IF(AND($G12&gt;=Targets!$C$7,$G12&lt;=Targets!$C$8),"Yes","No"))</f>
        <v>No</v>
      </c>
      <c r="P12" s="66" t="str">
        <f aca="false">IF($A12="","",IF(AND($H12&lt;&gt;"",$H12&gt;=Targets!$C$7,$H12&lt;=Targets!$C$8),"Yes","No"))</f>
        <v>No</v>
      </c>
      <c r="Q12" s="66" t="str">
        <f aca="false">IF($A12="","",IF(AND($F12="Project",$E12&lt;&gt;"Closed",$E12&lt;&gt;"Dormant"),"Yes","No"))</f>
        <v>Yes</v>
      </c>
      <c r="R12" s="66" t="str">
        <f aca="false">IF($A12="","",IF(AND($L12="In-house",OR($E12="Intake",$E12="Active",$E12="Waiting")),"Yes","No"))</f>
        <v>Yes</v>
      </c>
      <c r="S12" s="66" t="str">
        <f aca="false">IF($A12="","",$C12&amp;" | "&amp;$D12)</f>
        <v>Immigration and visas | Petition or an evidence response being prepared</v>
      </c>
      <c r="T12" s="66" t="str">
        <f aca="false">IF($A12="","",IF(AND($L12="Outside provider",OR($E12="Intake",$E12="Active",$E12="Waiting")),"Yes","No"))</f>
        <v>No</v>
      </c>
    </row>
    <row r="13" customFormat="false" ht="15" hidden="false" customHeight="true" outlineLevel="0" collapsed="false">
      <c r="A13" s="67" t="s">
        <v>379</v>
      </c>
      <c r="B13" s="67" t="s">
        <v>477</v>
      </c>
      <c r="C13" s="67" t="s">
        <v>459</v>
      </c>
      <c r="D13" s="67" t="s">
        <v>478</v>
      </c>
      <c r="E13" s="67" t="str">
        <f aca="false">IF($A13="","",IFERROR(INDEX('Status map'!$D$6:$D$64,MATCH($C13&amp;" | "&amp;$D13,'Status map'!$I$6:$I$64,0)),"Unmapped"))</f>
        <v>Closed</v>
      </c>
      <c r="F13" s="67" t="s">
        <v>448</v>
      </c>
      <c r="G13" s="70" t="n">
        <v>46238</v>
      </c>
      <c r="H13" s="70" t="n">
        <v>46244</v>
      </c>
      <c r="I13" s="70" t="n">
        <v>46244</v>
      </c>
      <c r="J13" s="67" t="s">
        <v>461</v>
      </c>
      <c r="K13" s="67" t="s">
        <v>470</v>
      </c>
      <c r="L13" s="67" t="s">
        <v>451</v>
      </c>
      <c r="M13" s="66" t="str">
        <f aca="false">IF(OR($A13="",$H13&lt;&gt;""),"",Targets!$C$8-$I13)</f>
        <v/>
      </c>
      <c r="N13" s="66" t="str">
        <f aca="false">IF($A13="","",IF(AND($F13="Project",$E13="Active",$M13&lt;&gt;"",$M13&gt;Targets!$C$12),"Yes","No"))</f>
        <v>No</v>
      </c>
      <c r="O13" s="66" t="str">
        <f aca="false">IF($A13="","",IF(AND($G13&gt;=Targets!$C$7,$G13&lt;=Targets!$C$8),"Yes","No"))</f>
        <v>Yes</v>
      </c>
      <c r="P13" s="66" t="str">
        <f aca="false">IF($A13="","",IF(AND($H13&lt;&gt;"",$H13&gt;=Targets!$C$7,$H13&lt;=Targets!$C$8),"Yes","No"))</f>
        <v>Yes</v>
      </c>
      <c r="Q13" s="66" t="str">
        <f aca="false">IF($A13="","",IF(AND($F13="Project",$E13&lt;&gt;"Closed",$E13&lt;&gt;"Dormant"),"Yes","No"))</f>
        <v>No</v>
      </c>
      <c r="R13" s="66" t="str">
        <f aca="false">IF($A13="","",IF(AND($L13="In-house",OR($E13="Intake",$E13="Active",$E13="Waiting")),"Yes","No"))</f>
        <v>No</v>
      </c>
      <c r="S13" s="66" t="str">
        <f aca="false">IF($A13="","",$C13&amp;" | "&amp;$D13)</f>
        <v>Contracts | Executed</v>
      </c>
      <c r="T13" s="66" t="str">
        <f aca="false">IF($A13="","",IF(AND($L13="Outside provider",OR($E13="Intake",$E13="Active",$E13="Waiting")),"Yes","No"))</f>
        <v>No</v>
      </c>
    </row>
    <row r="14" customFormat="false" ht="15" hidden="false" customHeight="true" outlineLevel="0" collapsed="false">
      <c r="A14" s="63" t="s">
        <v>479</v>
      </c>
      <c r="B14" s="63" t="s">
        <v>480</v>
      </c>
      <c r="C14" s="63" t="s">
        <v>459</v>
      </c>
      <c r="D14" s="63" t="s">
        <v>481</v>
      </c>
      <c r="E14" s="63" t="str">
        <f aca="false">IF($A14="","",IFERROR(INDEX('Status map'!$D$6:$D$64,MATCH($C14&amp;" | "&amp;$D14,'Status map'!$I$6:$I$64,0)),"Unmapped"))</f>
        <v>Closed</v>
      </c>
      <c r="F14" s="63" t="s">
        <v>482</v>
      </c>
      <c r="G14" s="69" t="n">
        <v>45980</v>
      </c>
      <c r="H14" s="69" t="n">
        <v>46053</v>
      </c>
      <c r="I14" s="69" t="n">
        <v>46053</v>
      </c>
      <c r="J14" s="63" t="s">
        <v>450</v>
      </c>
      <c r="K14" s="63" t="s">
        <v>456</v>
      </c>
      <c r="L14" s="63" t="s">
        <v>451</v>
      </c>
      <c r="M14" s="66" t="str">
        <f aca="false">IF(OR($A14="",$H14&lt;&gt;""),"",Targets!$C$8-$I14)</f>
        <v/>
      </c>
      <c r="N14" s="66" t="str">
        <f aca="false">IF($A14="","",IF(AND($F14="Project",$E14="Active",$M14&lt;&gt;"",$M14&gt;Targets!$C$12),"Yes","No"))</f>
        <v>No</v>
      </c>
      <c r="O14" s="66" t="str">
        <f aca="false">IF($A14="","",IF(AND($G14&gt;=Targets!$C$7,$G14&lt;=Targets!$C$8),"Yes","No"))</f>
        <v>No</v>
      </c>
      <c r="P14" s="66" t="str">
        <f aca="false">IF($A14="","",IF(AND($H14&lt;&gt;"",$H14&gt;=Targets!$C$7,$H14&lt;=Targets!$C$8),"Yes","No"))</f>
        <v>No</v>
      </c>
      <c r="Q14" s="66" t="str">
        <f aca="false">IF($A14="","",IF(AND($F14="Project",$E14&lt;&gt;"Closed",$E14&lt;&gt;"Dormant"),"Yes","No"))</f>
        <v>No</v>
      </c>
      <c r="R14" s="66" t="str">
        <f aca="false">IF($A14="","",IF(AND($L14="In-house",OR($E14="Intake",$E14="Active",$E14="Waiting")),"Yes","No"))</f>
        <v>No</v>
      </c>
      <c r="S14" s="66" t="str">
        <f aca="false">IF($A14="","",$C14&amp;" | "&amp;$D14)</f>
        <v>Contracts | Expired or terminated</v>
      </c>
      <c r="T14" s="66" t="str">
        <f aca="false">IF($A14="","",IF(AND($L14="Outside provider",OR($E14="Intake",$E14="Active",$E14="Waiting")),"Yes","No"))</f>
        <v>No</v>
      </c>
    </row>
    <row r="15" customFormat="false" ht="15" hidden="false" customHeight="true" outlineLevel="0" collapsed="false">
      <c r="A15" s="67" t="s">
        <v>483</v>
      </c>
      <c r="B15" s="67" t="s">
        <v>484</v>
      </c>
      <c r="C15" s="67" t="s">
        <v>454</v>
      </c>
      <c r="D15" s="67" t="s">
        <v>455</v>
      </c>
      <c r="E15" s="67" t="str">
        <f aca="false">IF($A15="","",IFERROR(INDEX('Status map'!$D$6:$D$64,MATCH($C15&amp;" | "&amp;$D15,'Status map'!$I$6:$I$64,0)),"Unmapped"))</f>
        <v>Closed</v>
      </c>
      <c r="F15" s="67" t="s">
        <v>448</v>
      </c>
      <c r="G15" s="70" t="n">
        <v>45902</v>
      </c>
      <c r="H15" s="70" t="n">
        <v>45987</v>
      </c>
      <c r="I15" s="70" t="n">
        <v>45987</v>
      </c>
      <c r="J15" s="67" t="s">
        <v>449</v>
      </c>
      <c r="K15" s="67" t="s">
        <v>456</v>
      </c>
      <c r="L15" s="67" t="s">
        <v>451</v>
      </c>
      <c r="M15" s="66" t="str">
        <f aca="false">IF(OR($A15="",$H15&lt;&gt;""),"",Targets!$C$8-$I15)</f>
        <v/>
      </c>
      <c r="N15" s="66" t="str">
        <f aca="false">IF($A15="","",IF(AND($F15="Project",$E15="Active",$M15&lt;&gt;"",$M15&gt;Targets!$C$12),"Yes","No"))</f>
        <v>No</v>
      </c>
      <c r="O15" s="66" t="str">
        <f aca="false">IF($A15="","",IF(AND($G15&gt;=Targets!$C$7,$G15&lt;=Targets!$C$8),"Yes","No"))</f>
        <v>No</v>
      </c>
      <c r="P15" s="66" t="str">
        <f aca="false">IF($A15="","",IF(AND($H15&lt;&gt;"",$H15&gt;=Targets!$C$7,$H15&lt;=Targets!$C$8),"Yes","No"))</f>
        <v>No</v>
      </c>
      <c r="Q15" s="66" t="str">
        <f aca="false">IF($A15="","",IF(AND($F15="Project",$E15&lt;&gt;"Closed",$E15&lt;&gt;"Dormant"),"Yes","No"))</f>
        <v>No</v>
      </c>
      <c r="R15" s="66" t="str">
        <f aca="false">IF($A15="","",IF(AND($L15="In-house",OR($E15="Intake",$E15="Active",$E15="Waiting")),"Yes","No"))</f>
        <v>No</v>
      </c>
      <c r="S15" s="66" t="str">
        <f aca="false">IF($A15="","",$C15&amp;" | "&amp;$D15)</f>
        <v>Litigation | Settled, dismissed, or judgment entered</v>
      </c>
      <c r="T15" s="66" t="str">
        <f aca="false">IF($A15="","",IF(AND($L15="Outside provider",OR($E15="Intake",$E15="Active",$E15="Waiting")),"Yes","No"))</f>
        <v>No</v>
      </c>
    </row>
    <row r="16" customFormat="false" ht="15" hidden="false" customHeight="true" outlineLevel="0" collapsed="false">
      <c r="A16" s="63" t="s">
        <v>485</v>
      </c>
      <c r="B16" s="63" t="s">
        <v>486</v>
      </c>
      <c r="C16" s="63" t="s">
        <v>487</v>
      </c>
      <c r="D16" s="63" t="s">
        <v>488</v>
      </c>
      <c r="E16" s="63" t="str">
        <f aca="false">IF($A16="","",IFERROR(INDEX('Status map'!$D$6:$D$64,MATCH($C16&amp;" | "&amp;$D16,'Status map'!$I$6:$I$64,0)),"Unmapped"))</f>
        <v>Intake</v>
      </c>
      <c r="F16" s="63" t="s">
        <v>482</v>
      </c>
      <c r="G16" s="69" t="n">
        <v>46132</v>
      </c>
      <c r="H16" s="69"/>
      <c r="I16" s="69" t="n">
        <v>46259</v>
      </c>
      <c r="J16" s="63" t="s">
        <v>474</v>
      </c>
      <c r="K16" s="63" t="s">
        <v>456</v>
      </c>
      <c r="L16" s="63" t="s">
        <v>451</v>
      </c>
      <c r="M16" s="66" t="n">
        <f aca="false">IF(OR($A16="",$H16&lt;&gt;""),"",Targets!$C$8-$I16)</f>
        <v>6</v>
      </c>
      <c r="N16" s="66" t="str">
        <f aca="false">IF($A16="","",IF(AND($F16="Project",$E16="Active",$M16&lt;&gt;"",$M16&gt;Targets!$C$12),"Yes","No"))</f>
        <v>No</v>
      </c>
      <c r="O16" s="66" t="str">
        <f aca="false">IF($A16="","",IF(AND($G16&gt;=Targets!$C$7,$G16&lt;=Targets!$C$8),"Yes","No"))</f>
        <v>No</v>
      </c>
      <c r="P16" s="66" t="str">
        <f aca="false">IF($A16="","",IF(AND($H16&lt;&gt;"",$H16&gt;=Targets!$C$7,$H16&lt;=Targets!$C$8),"Yes","No"))</f>
        <v>No</v>
      </c>
      <c r="Q16" s="66" t="str">
        <f aca="false">IF($A16="","",IF(AND($F16="Project",$E16&lt;&gt;"Closed",$E16&lt;&gt;"Dormant"),"Yes","No"))</f>
        <v>No</v>
      </c>
      <c r="R16" s="66" t="str">
        <f aca="false">IF($A16="","",IF(AND($L16="In-house",OR($E16="Intake",$E16="Active",$E16="Waiting")),"Yes","No"))</f>
        <v>Yes</v>
      </c>
      <c r="S16" s="66" t="str">
        <f aca="false">IF($A16="","",$C16&amp;" | "&amp;$D16)</f>
        <v>Corporate and entity management | Request logged, not started</v>
      </c>
      <c r="T16" s="66" t="str">
        <f aca="false">IF($A16="","",IF(AND($L16="Outside provider",OR($E16="Intake",$E16="Active",$E16="Waiting")),"Yes","No"))</f>
        <v>No</v>
      </c>
    </row>
    <row r="17" customFormat="false" ht="15" hidden="false" customHeight="true" outlineLevel="0" collapsed="false">
      <c r="A17" s="67" t="s">
        <v>358</v>
      </c>
      <c r="B17" s="67" t="s">
        <v>489</v>
      </c>
      <c r="C17" s="67" t="s">
        <v>446</v>
      </c>
      <c r="D17" s="67" t="s">
        <v>473</v>
      </c>
      <c r="E17" s="67" t="str">
        <f aca="false">IF($A17="","",IFERROR(INDEX('Status map'!$D$6:$D$64,MATCH($C17&amp;" | "&amp;$D17,'Status map'!$I$6:$I$64,0)),"Unmapped"))</f>
        <v>Closed</v>
      </c>
      <c r="F17" s="67" t="s">
        <v>448</v>
      </c>
      <c r="G17" s="70" t="n">
        <v>46237</v>
      </c>
      <c r="H17" s="70" t="n">
        <v>46249</v>
      </c>
      <c r="I17" s="70" t="n">
        <v>46249</v>
      </c>
      <c r="J17" s="67" t="s">
        <v>450</v>
      </c>
      <c r="K17" s="67" t="s">
        <v>461</v>
      </c>
      <c r="L17" s="67" t="s">
        <v>451</v>
      </c>
      <c r="M17" s="66" t="str">
        <f aca="false">IF(OR($A17="",$H17&lt;&gt;""),"",Targets!$C$8-$I17)</f>
        <v/>
      </c>
      <c r="N17" s="66" t="str">
        <f aca="false">IF($A17="","",IF(AND($F17="Project",$E17="Active",$M17&lt;&gt;"",$M17&gt;Targets!$C$12),"Yes","No"))</f>
        <v>No</v>
      </c>
      <c r="O17" s="66" t="str">
        <f aca="false">IF($A17="","",IF(AND($G17&gt;=Targets!$C$7,$G17&lt;=Targets!$C$8),"Yes","No"))</f>
        <v>Yes</v>
      </c>
      <c r="P17" s="66" t="str">
        <f aca="false">IF($A17="","",IF(AND($H17&lt;&gt;"",$H17&gt;=Targets!$C$7,$H17&lt;=Targets!$C$8),"Yes","No"))</f>
        <v>Yes</v>
      </c>
      <c r="Q17" s="66" t="str">
        <f aca="false">IF($A17="","",IF(AND($F17="Project",$E17&lt;&gt;"Closed",$E17&lt;&gt;"Dormant"),"Yes","No"))</f>
        <v>No</v>
      </c>
      <c r="R17" s="66" t="str">
        <f aca="false">IF($A17="","",IF(AND($L17="In-house",OR($E17="Intake",$E17="Active",$E17="Waiting")),"Yes","No"))</f>
        <v>No</v>
      </c>
      <c r="S17" s="66" t="str">
        <f aca="false">IF($A17="","",$C17&amp;" | "&amp;$D17)</f>
        <v>Employment | Resolved or closed</v>
      </c>
      <c r="T17" s="66" t="str">
        <f aca="false">IF($A17="","",IF(AND($L17="Outside provider",OR($E17="Intake",$E17="Active",$E17="Waiting")),"Yes","No"))</f>
        <v>No</v>
      </c>
    </row>
    <row r="18" customFormat="false" ht="15" hidden="false" customHeight="true" outlineLevel="0" collapsed="false">
      <c r="A18" s="63" t="s">
        <v>340</v>
      </c>
      <c r="B18" s="63" t="s">
        <v>490</v>
      </c>
      <c r="C18" s="63" t="s">
        <v>459</v>
      </c>
      <c r="D18" s="63" t="s">
        <v>491</v>
      </c>
      <c r="E18" s="63" t="str">
        <f aca="false">IF($A18="","",IFERROR(INDEX('Status map'!$D$6:$D$64,MATCH($C18&amp;" | "&amp;$D18,'Status map'!$I$6:$I$64,0)),"Unmapped"))</f>
        <v>Active</v>
      </c>
      <c r="F18" s="63" t="s">
        <v>448</v>
      </c>
      <c r="G18" s="69" t="n">
        <v>46251</v>
      </c>
      <c r="H18" s="69"/>
      <c r="I18" s="69" t="n">
        <v>46192</v>
      </c>
      <c r="J18" s="63" t="s">
        <v>492</v>
      </c>
      <c r="K18" s="63" t="s">
        <v>492</v>
      </c>
      <c r="L18" s="63" t="s">
        <v>451</v>
      </c>
      <c r="M18" s="66" t="n">
        <f aca="false">IF(OR($A18="",$H18&lt;&gt;""),"",Targets!$C$8-$I18)</f>
        <v>73</v>
      </c>
      <c r="N18" s="66" t="str">
        <f aca="false">IF($A18="","",IF(AND($F18="Project",$E18="Active",$M18&lt;&gt;"",$M18&gt;Targets!$C$12),"Yes","No"))</f>
        <v>Yes</v>
      </c>
      <c r="O18" s="66" t="str">
        <f aca="false">IF($A18="","",IF(AND($G18&gt;=Targets!$C$7,$G18&lt;=Targets!$C$8),"Yes","No"))</f>
        <v>Yes</v>
      </c>
      <c r="P18" s="66" t="str">
        <f aca="false">IF($A18="","",IF(AND($H18&lt;&gt;"",$H18&gt;=Targets!$C$7,$H18&lt;=Targets!$C$8),"Yes","No"))</f>
        <v>No</v>
      </c>
      <c r="Q18" s="66" t="str">
        <f aca="false">IF($A18="","",IF(AND($F18="Project",$E18&lt;&gt;"Closed",$E18&lt;&gt;"Dormant"),"Yes","No"))</f>
        <v>Yes</v>
      </c>
      <c r="R18" s="66" t="str">
        <f aca="false">IF($A18="","",IF(AND($L18="In-house",OR($E18="Intake",$E18="Active",$E18="Waiting")),"Yes","No"))</f>
        <v>Yes</v>
      </c>
      <c r="S18" s="66" t="str">
        <f aca="false">IF($A18="","",$C18&amp;" | "&amp;$D18)</f>
        <v>Contracts | Drafting, review, or negotiation</v>
      </c>
      <c r="T18" s="66" t="str">
        <f aca="false">IF($A18="","",IF(AND($L18="Outside provider",OR($E18="Intake",$E18="Active",$E18="Waiting")),"Yes","No"))</f>
        <v>No</v>
      </c>
    </row>
    <row r="19" customFormat="false" ht="15" hidden="false" customHeight="true" outlineLevel="0" collapsed="false">
      <c r="A19" s="67" t="s">
        <v>493</v>
      </c>
      <c r="B19" s="67" t="s">
        <v>494</v>
      </c>
      <c r="C19" s="67" t="s">
        <v>465</v>
      </c>
      <c r="D19" s="67" t="s">
        <v>469</v>
      </c>
      <c r="E19" s="67" t="str">
        <f aca="false">IF($A19="","",IFERROR(INDEX('Status map'!$D$6:$D$64,MATCH($C19&amp;" | "&amp;$D19,'Status map'!$I$6:$I$64,0)),"Unmapped"))</f>
        <v>Active</v>
      </c>
      <c r="F19" s="67" t="s">
        <v>448</v>
      </c>
      <c r="G19" s="70" t="n">
        <v>45891</v>
      </c>
      <c r="H19" s="70"/>
      <c r="I19" s="70" t="n">
        <v>46263</v>
      </c>
      <c r="J19" s="67" t="s">
        <v>449</v>
      </c>
      <c r="K19" s="67" t="s">
        <v>495</v>
      </c>
      <c r="L19" s="67" t="s">
        <v>496</v>
      </c>
      <c r="M19" s="66" t="n">
        <f aca="false">IF(OR($A19="",$H19&lt;&gt;""),"",Targets!$C$8-$I19)</f>
        <v>2</v>
      </c>
      <c r="N19" s="66" t="str">
        <f aca="false">IF($A19="","",IF(AND($F19="Project",$E19="Active",$M19&lt;&gt;"",$M19&gt;Targets!$C$12),"Yes","No"))</f>
        <v>No</v>
      </c>
      <c r="O19" s="66" t="str">
        <f aca="false">IF($A19="","",IF(AND($G19&gt;=Targets!$C$7,$G19&lt;=Targets!$C$8),"Yes","No"))</f>
        <v>No</v>
      </c>
      <c r="P19" s="66" t="str">
        <f aca="false">IF($A19="","",IF(AND($H19&lt;&gt;"",$H19&gt;=Targets!$C$7,$H19&lt;=Targets!$C$8),"Yes","No"))</f>
        <v>No</v>
      </c>
      <c r="Q19" s="66" t="str">
        <f aca="false">IF($A19="","",IF(AND($F19="Project",$E19&lt;&gt;"Closed",$E19&lt;&gt;"Dormant"),"Yes","No"))</f>
        <v>Yes</v>
      </c>
      <c r="R19" s="66" t="str">
        <f aca="false">IF($A19="","",IF(AND($L19="In-house",OR($E19="Intake",$E19="Active",$E19="Waiting")),"Yes","No"))</f>
        <v>No</v>
      </c>
      <c r="S19" s="66" t="str">
        <f aca="false">IF($A19="","",$C19&amp;" | "&amp;$D19)</f>
        <v>Immigration and visas | Petition or an evidence response being prepared</v>
      </c>
      <c r="T19" s="66" t="str">
        <f aca="false">IF($A19="","",IF(AND($L19="Outside provider",OR($E19="Intake",$E19="Active",$E19="Waiting")),"Yes","No"))</f>
        <v>Yes</v>
      </c>
    </row>
    <row r="20" customFormat="false" ht="15" hidden="false" customHeight="true" outlineLevel="0" collapsed="false">
      <c r="A20" s="63" t="s">
        <v>497</v>
      </c>
      <c r="B20" s="63" t="s">
        <v>498</v>
      </c>
      <c r="C20" s="63" t="s">
        <v>446</v>
      </c>
      <c r="D20" s="63" t="s">
        <v>473</v>
      </c>
      <c r="E20" s="63" t="str">
        <f aca="false">IF($A20="","",IFERROR(INDEX('Status map'!$D$6:$D$64,MATCH($C20&amp;" | "&amp;$D20,'Status map'!$I$6:$I$64,0)),"Unmapped"))</f>
        <v>Closed</v>
      </c>
      <c r="F20" s="63" t="s">
        <v>448</v>
      </c>
      <c r="G20" s="69" t="n">
        <v>45997</v>
      </c>
      <c r="H20" s="69" t="n">
        <v>46261</v>
      </c>
      <c r="I20" s="69" t="n">
        <v>46261</v>
      </c>
      <c r="J20" s="63" t="s">
        <v>470</v>
      </c>
      <c r="K20" s="63" t="s">
        <v>450</v>
      </c>
      <c r="L20" s="63" t="s">
        <v>451</v>
      </c>
      <c r="M20" s="66" t="str">
        <f aca="false">IF(OR($A20="",$H20&lt;&gt;""),"",Targets!$C$8-$I20)</f>
        <v/>
      </c>
      <c r="N20" s="66" t="str">
        <f aca="false">IF($A20="","",IF(AND($F20="Project",$E20="Active",$M20&lt;&gt;"",$M20&gt;Targets!$C$12),"Yes","No"))</f>
        <v>No</v>
      </c>
      <c r="O20" s="66" t="str">
        <f aca="false">IF($A20="","",IF(AND($G20&gt;=Targets!$C$7,$G20&lt;=Targets!$C$8),"Yes","No"))</f>
        <v>No</v>
      </c>
      <c r="P20" s="66" t="str">
        <f aca="false">IF($A20="","",IF(AND($H20&lt;&gt;"",$H20&gt;=Targets!$C$7,$H20&lt;=Targets!$C$8),"Yes","No"))</f>
        <v>Yes</v>
      </c>
      <c r="Q20" s="66" t="str">
        <f aca="false">IF($A20="","",IF(AND($F20="Project",$E20&lt;&gt;"Closed",$E20&lt;&gt;"Dormant"),"Yes","No"))</f>
        <v>No</v>
      </c>
      <c r="R20" s="66" t="str">
        <f aca="false">IF($A20="","",IF(AND($L20="In-house",OR($E20="Intake",$E20="Active",$E20="Waiting")),"Yes","No"))</f>
        <v>No</v>
      </c>
      <c r="S20" s="66" t="str">
        <f aca="false">IF($A20="","",$C20&amp;" | "&amp;$D20)</f>
        <v>Employment | Resolved or closed</v>
      </c>
      <c r="T20" s="66" t="str">
        <f aca="false">IF($A20="","",IF(AND($L20="Outside provider",OR($E20="Intake",$E20="Active",$E20="Waiting")),"Yes","No"))</f>
        <v>No</v>
      </c>
    </row>
    <row r="21" customFormat="false" ht="15" hidden="false" customHeight="true" outlineLevel="0" collapsed="false">
      <c r="A21" s="67" t="s">
        <v>499</v>
      </c>
      <c r="B21" s="67" t="s">
        <v>500</v>
      </c>
      <c r="C21" s="67" t="s">
        <v>501</v>
      </c>
      <c r="D21" s="67" t="s">
        <v>502</v>
      </c>
      <c r="E21" s="67" t="str">
        <f aca="false">IF($A21="","",IFERROR(INDEX('Status map'!$D$6:$D$64,MATCH($C21&amp;" | "&amp;$D21,'Status map'!$I$6:$I$64,0)),"Unmapped"))</f>
        <v>Closed</v>
      </c>
      <c r="F21" s="67" t="s">
        <v>448</v>
      </c>
      <c r="G21" s="70" t="n">
        <v>45948</v>
      </c>
      <c r="H21" s="70" t="n">
        <v>46023</v>
      </c>
      <c r="I21" s="70" t="n">
        <v>46023</v>
      </c>
      <c r="J21" s="67" t="s">
        <v>474</v>
      </c>
      <c r="K21" s="67" t="s">
        <v>450</v>
      </c>
      <c r="L21" s="67" t="s">
        <v>451</v>
      </c>
      <c r="M21" s="66" t="str">
        <f aca="false">IF(OR($A21="",$H21&lt;&gt;""),"",Targets!$C$8-$I21)</f>
        <v/>
      </c>
      <c r="N21" s="66" t="str">
        <f aca="false">IF($A21="","",IF(AND($F21="Project",$E21="Active",$M21&lt;&gt;"",$M21&gt;Targets!$C$12),"Yes","No"))</f>
        <v>No</v>
      </c>
      <c r="O21" s="66" t="str">
        <f aca="false">IF($A21="","",IF(AND($G21&gt;=Targets!$C$7,$G21&lt;=Targets!$C$8),"Yes","No"))</f>
        <v>No</v>
      </c>
      <c r="P21" s="66" t="str">
        <f aca="false">IF($A21="","",IF(AND($H21&lt;&gt;"",$H21&gt;=Targets!$C$7,$H21&lt;=Targets!$C$8),"Yes","No"))</f>
        <v>No</v>
      </c>
      <c r="Q21" s="66" t="str">
        <f aca="false">IF($A21="","",IF(AND($F21="Project",$E21&lt;&gt;"Closed",$E21&lt;&gt;"Dormant"),"Yes","No"))</f>
        <v>No</v>
      </c>
      <c r="R21" s="66" t="str">
        <f aca="false">IF($A21="","",IF(AND($L21="In-house",OR($E21="Intake",$E21="Active",$E21="Waiting")),"Yes","No"))</f>
        <v>No</v>
      </c>
      <c r="S21" s="66" t="str">
        <f aca="false">IF($A21="","",$C21&amp;" | "&amp;$D21)</f>
        <v>M&amp;A and corporate deals | Deal closed</v>
      </c>
      <c r="T21" s="66" t="str">
        <f aca="false">IF($A21="","",IF(AND($L21="Outside provider",OR($E21="Intake",$E21="Active",$E21="Waiting")),"Yes","No"))</f>
        <v>No</v>
      </c>
    </row>
    <row r="22" customFormat="false" ht="15" hidden="false" customHeight="true" outlineLevel="0" collapsed="false">
      <c r="A22" s="63" t="s">
        <v>349</v>
      </c>
      <c r="B22" s="63" t="s">
        <v>503</v>
      </c>
      <c r="C22" s="63" t="s">
        <v>459</v>
      </c>
      <c r="D22" s="63" t="s">
        <v>491</v>
      </c>
      <c r="E22" s="63" t="str">
        <f aca="false">IF($A22="","",IFERROR(INDEX('Status map'!$D$6:$D$64,MATCH($C22&amp;" | "&amp;$D22,'Status map'!$I$6:$I$64,0)),"Unmapped"))</f>
        <v>Active</v>
      </c>
      <c r="F22" s="63" t="s">
        <v>448</v>
      </c>
      <c r="G22" s="69" t="n">
        <v>46260</v>
      </c>
      <c r="H22" s="69"/>
      <c r="I22" s="69" t="n">
        <v>46246</v>
      </c>
      <c r="J22" s="63" t="s">
        <v>461</v>
      </c>
      <c r="K22" s="63" t="s">
        <v>462</v>
      </c>
      <c r="L22" s="63" t="s">
        <v>451</v>
      </c>
      <c r="M22" s="66" t="n">
        <f aca="false">IF(OR($A22="",$H22&lt;&gt;""),"",Targets!$C$8-$I22)</f>
        <v>19</v>
      </c>
      <c r="N22" s="66" t="str">
        <f aca="false">IF($A22="","",IF(AND($F22="Project",$E22="Active",$M22&lt;&gt;"",$M22&gt;Targets!$C$12),"Yes","No"))</f>
        <v>No</v>
      </c>
      <c r="O22" s="66" t="str">
        <f aca="false">IF($A22="","",IF(AND($G22&gt;=Targets!$C$7,$G22&lt;=Targets!$C$8),"Yes","No"))</f>
        <v>Yes</v>
      </c>
      <c r="P22" s="66" t="str">
        <f aca="false">IF($A22="","",IF(AND($H22&lt;&gt;"",$H22&gt;=Targets!$C$7,$H22&lt;=Targets!$C$8),"Yes","No"))</f>
        <v>No</v>
      </c>
      <c r="Q22" s="66" t="str">
        <f aca="false">IF($A22="","",IF(AND($F22="Project",$E22&lt;&gt;"Closed",$E22&lt;&gt;"Dormant"),"Yes","No"))</f>
        <v>Yes</v>
      </c>
      <c r="R22" s="66" t="str">
        <f aca="false">IF($A22="","",IF(AND($L22="In-house",OR($E22="Intake",$E22="Active",$E22="Waiting")),"Yes","No"))</f>
        <v>Yes</v>
      </c>
      <c r="S22" s="66" t="str">
        <f aca="false">IF($A22="","",$C22&amp;" | "&amp;$D22)</f>
        <v>Contracts | Drafting, review, or negotiation</v>
      </c>
      <c r="T22" s="66" t="str">
        <f aca="false">IF($A22="","",IF(AND($L22="Outside provider",OR($E22="Intake",$E22="Active",$E22="Waiting")),"Yes","No"))</f>
        <v>No</v>
      </c>
    </row>
    <row r="23" customFormat="false" ht="15" hidden="false" customHeight="true" outlineLevel="0" collapsed="false">
      <c r="A23" s="67" t="s">
        <v>504</v>
      </c>
      <c r="B23" s="67" t="s">
        <v>505</v>
      </c>
      <c r="C23" s="67" t="s">
        <v>465</v>
      </c>
      <c r="D23" s="67" t="s">
        <v>506</v>
      </c>
      <c r="E23" s="67" t="str">
        <f aca="false">IF($A23="","",IFERROR(INDEX('Status map'!$D$6:$D$64,MATCH($C23&amp;" | "&amp;$D23,'Status map'!$I$6:$I$64,0)),"Unmapped"))</f>
        <v>Intake</v>
      </c>
      <c r="F23" s="67" t="s">
        <v>448</v>
      </c>
      <c r="G23" s="70" t="n">
        <v>46016</v>
      </c>
      <c r="H23" s="70"/>
      <c r="I23" s="70" t="n">
        <v>46251</v>
      </c>
      <c r="J23" s="67" t="s">
        <v>470</v>
      </c>
      <c r="K23" s="67" t="s">
        <v>470</v>
      </c>
      <c r="L23" s="67" t="s">
        <v>451</v>
      </c>
      <c r="M23" s="66" t="n">
        <f aca="false">IF(OR($A23="",$H23&lt;&gt;""),"",Targets!$C$8-$I23)</f>
        <v>14</v>
      </c>
      <c r="N23" s="66" t="str">
        <f aca="false">IF($A23="","",IF(AND($F23="Project",$E23="Active",$M23&lt;&gt;"",$M23&gt;Targets!$C$12),"Yes","No"))</f>
        <v>No</v>
      </c>
      <c r="O23" s="66" t="str">
        <f aca="false">IF($A23="","",IF(AND($G23&gt;=Targets!$C$7,$G23&lt;=Targets!$C$8),"Yes","No"))</f>
        <v>No</v>
      </c>
      <c r="P23" s="66" t="str">
        <f aca="false">IF($A23="","",IF(AND($H23&lt;&gt;"",$H23&gt;=Targets!$C$7,$H23&lt;=Targets!$C$8),"Yes","No"))</f>
        <v>No</v>
      </c>
      <c r="Q23" s="66" t="str">
        <f aca="false">IF($A23="","",IF(AND($F23="Project",$E23&lt;&gt;"Closed",$E23&lt;&gt;"Dormant"),"Yes","No"))</f>
        <v>Yes</v>
      </c>
      <c r="R23" s="66" t="str">
        <f aca="false">IF($A23="","",IF(AND($L23="In-house",OR($E23="Intake",$E23="Active",$E23="Waiting")),"Yes","No"))</f>
        <v>Yes</v>
      </c>
      <c r="S23" s="66" t="str">
        <f aca="false">IF($A23="","",$C23&amp;" | "&amp;$D23)</f>
        <v>Immigration and visas | Case opened, gathering documents</v>
      </c>
      <c r="T23" s="66" t="str">
        <f aca="false">IF($A23="","",IF(AND($L23="Outside provider",OR($E23="Intake",$E23="Active",$E23="Waiting")),"Yes","No"))</f>
        <v>No</v>
      </c>
    </row>
    <row r="24" customFormat="false" ht="15" hidden="false" customHeight="true" outlineLevel="0" collapsed="false">
      <c r="A24" s="63" t="s">
        <v>507</v>
      </c>
      <c r="B24" s="63" t="s">
        <v>508</v>
      </c>
      <c r="C24" s="63" t="s">
        <v>465</v>
      </c>
      <c r="D24" s="63" t="s">
        <v>509</v>
      </c>
      <c r="E24" s="63" t="str">
        <f aca="false">IF($A24="","",IFERROR(INDEX('Status map'!$D$6:$D$64,MATCH($C24&amp;" | "&amp;$D24,'Status map'!$I$6:$I$64,0)),"Unmapped"))</f>
        <v>Dormant</v>
      </c>
      <c r="F24" s="63" t="s">
        <v>510</v>
      </c>
      <c r="G24" s="69" t="n">
        <v>44358</v>
      </c>
      <c r="H24" s="69"/>
      <c r="I24" s="69" t="n">
        <v>45988</v>
      </c>
      <c r="J24" s="63" t="s">
        <v>474</v>
      </c>
      <c r="K24" s="63" t="s">
        <v>492</v>
      </c>
      <c r="L24" s="63" t="s">
        <v>451</v>
      </c>
      <c r="M24" s="66" t="n">
        <f aca="false">IF(OR($A24="",$H24&lt;&gt;""),"",Targets!$C$8-$I24)</f>
        <v>277</v>
      </c>
      <c r="N24" s="66" t="str">
        <f aca="false">IF($A24="","",IF(AND($F24="Project",$E24="Active",$M24&lt;&gt;"",$M24&gt;Targets!$C$12),"Yes","No"))</f>
        <v>No</v>
      </c>
      <c r="O24" s="66" t="str">
        <f aca="false">IF($A24="","",IF(AND($G24&gt;=Targets!$C$7,$G24&lt;=Targets!$C$8),"Yes","No"))</f>
        <v>No</v>
      </c>
      <c r="P24" s="66" t="str">
        <f aca="false">IF($A24="","",IF(AND($H24&lt;&gt;"",$H24&gt;=Targets!$C$7,$H24&lt;=Targets!$C$8),"Yes","No"))</f>
        <v>No</v>
      </c>
      <c r="Q24" s="66" t="str">
        <f aca="false">IF($A24="","",IF(AND($F24="Project",$E24&lt;&gt;"Closed",$E24&lt;&gt;"Dormant"),"Yes","No"))</f>
        <v>No</v>
      </c>
      <c r="R24" s="66" t="str">
        <f aca="false">IF($A24="","",IF(AND($L24="In-house",OR($E24="Intake",$E24="Active",$E24="Waiting")),"Yes","No"))</f>
        <v>No</v>
      </c>
      <c r="S24" s="66" t="str">
        <f aca="false">IF($A24="","",$C24&amp;" | "&amp;$D24)</f>
        <v>Immigration and visas | Approved, renewal window tracked</v>
      </c>
      <c r="T24" s="66" t="str">
        <f aca="false">IF($A24="","",IF(AND($L24="Outside provider",OR($E24="Intake",$E24="Active",$E24="Waiting")),"Yes","No"))</f>
        <v>No</v>
      </c>
    </row>
    <row r="25" customFormat="false" ht="15" hidden="false" customHeight="true" outlineLevel="0" collapsed="false">
      <c r="A25" s="67" t="s">
        <v>353</v>
      </c>
      <c r="B25" s="67" t="s">
        <v>511</v>
      </c>
      <c r="C25" s="67" t="s">
        <v>446</v>
      </c>
      <c r="D25" s="67" t="s">
        <v>473</v>
      </c>
      <c r="E25" s="67" t="str">
        <f aca="false">IF($A25="","",IFERROR(INDEX('Status map'!$D$6:$D$64,MATCH($C25&amp;" | "&amp;$D25,'Status map'!$I$6:$I$64,0)),"Unmapped"))</f>
        <v>Closed</v>
      </c>
      <c r="F25" s="67" t="s">
        <v>448</v>
      </c>
      <c r="G25" s="70" t="n">
        <v>46236</v>
      </c>
      <c r="H25" s="70" t="n">
        <v>46247</v>
      </c>
      <c r="I25" s="70" t="n">
        <v>46247</v>
      </c>
      <c r="J25" s="67" t="s">
        <v>449</v>
      </c>
      <c r="K25" s="67" t="s">
        <v>492</v>
      </c>
      <c r="L25" s="67" t="s">
        <v>451</v>
      </c>
      <c r="M25" s="66" t="str">
        <f aca="false">IF(OR($A25="",$H25&lt;&gt;""),"",Targets!$C$8-$I25)</f>
        <v/>
      </c>
      <c r="N25" s="66" t="str">
        <f aca="false">IF($A25="","",IF(AND($F25="Project",$E25="Active",$M25&lt;&gt;"",$M25&gt;Targets!$C$12),"Yes","No"))</f>
        <v>No</v>
      </c>
      <c r="O25" s="66" t="str">
        <f aca="false">IF($A25="","",IF(AND($G25&gt;=Targets!$C$7,$G25&lt;=Targets!$C$8),"Yes","No"))</f>
        <v>Yes</v>
      </c>
      <c r="P25" s="66" t="str">
        <f aca="false">IF($A25="","",IF(AND($H25&lt;&gt;"",$H25&gt;=Targets!$C$7,$H25&lt;=Targets!$C$8),"Yes","No"))</f>
        <v>Yes</v>
      </c>
      <c r="Q25" s="66" t="str">
        <f aca="false">IF($A25="","",IF(AND($F25="Project",$E25&lt;&gt;"Closed",$E25&lt;&gt;"Dormant"),"Yes","No"))</f>
        <v>No</v>
      </c>
      <c r="R25" s="66" t="str">
        <f aca="false">IF($A25="","",IF(AND($L25="In-house",OR($E25="Intake",$E25="Active",$E25="Waiting")),"Yes","No"))</f>
        <v>No</v>
      </c>
      <c r="S25" s="66" t="str">
        <f aca="false">IF($A25="","",$C25&amp;" | "&amp;$D25)</f>
        <v>Employment | Resolved or closed</v>
      </c>
      <c r="T25" s="66" t="str">
        <f aca="false">IF($A25="","",IF(AND($L25="Outside provider",OR($E25="Intake",$E25="Active",$E25="Waiting")),"Yes","No"))</f>
        <v>No</v>
      </c>
    </row>
    <row r="26" customFormat="false" ht="15" hidden="false" customHeight="true" outlineLevel="0" collapsed="false">
      <c r="A26" s="63" t="s">
        <v>512</v>
      </c>
      <c r="B26" s="63" t="s">
        <v>513</v>
      </c>
      <c r="C26" s="63" t="s">
        <v>454</v>
      </c>
      <c r="D26" s="63" t="s">
        <v>514</v>
      </c>
      <c r="E26" s="63" t="str">
        <f aca="false">IF($A26="","",IFERROR(INDEX('Status map'!$D$6:$D$64,MATCH($C26&amp;" | "&amp;$D26,'Status map'!$I$6:$I$64,0)),"Unmapped"))</f>
        <v>Active</v>
      </c>
      <c r="F26" s="63" t="s">
        <v>448</v>
      </c>
      <c r="G26" s="69" t="n">
        <v>45970</v>
      </c>
      <c r="H26" s="69"/>
      <c r="I26" s="69" t="n">
        <v>46180</v>
      </c>
      <c r="J26" s="63" t="s">
        <v>461</v>
      </c>
      <c r="K26" s="63" t="s">
        <v>461</v>
      </c>
      <c r="L26" s="63" t="s">
        <v>451</v>
      </c>
      <c r="M26" s="66" t="n">
        <f aca="false">IF(OR($A26="",$H26&lt;&gt;""),"",Targets!$C$8-$I26)</f>
        <v>85</v>
      </c>
      <c r="N26" s="66" t="str">
        <f aca="false">IF($A26="","",IF(AND($F26="Project",$E26="Active",$M26&lt;&gt;"",$M26&gt;Targets!$C$12),"Yes","No"))</f>
        <v>Yes</v>
      </c>
      <c r="O26" s="66" t="str">
        <f aca="false">IF($A26="","",IF(AND($G26&gt;=Targets!$C$7,$G26&lt;=Targets!$C$8),"Yes","No"))</f>
        <v>No</v>
      </c>
      <c r="P26" s="66" t="str">
        <f aca="false">IF($A26="","",IF(AND($H26&lt;&gt;"",$H26&gt;=Targets!$C$7,$H26&lt;=Targets!$C$8),"Yes","No"))</f>
        <v>No</v>
      </c>
      <c r="Q26" s="66" t="str">
        <f aca="false">IF($A26="","",IF(AND($F26="Project",$E26&lt;&gt;"Closed",$E26&lt;&gt;"Dormant"),"Yes","No"))</f>
        <v>Yes</v>
      </c>
      <c r="R26" s="66" t="str">
        <f aca="false">IF($A26="","",IF(AND($L26="In-house",OR($E26="Intake",$E26="Active",$E26="Waiting")),"Yes","No"))</f>
        <v>Yes</v>
      </c>
      <c r="S26" s="66" t="str">
        <f aca="false">IF($A26="","",$C26&amp;" | "&amp;$D26)</f>
        <v>Litigation | Active discovery, motions, or trial prep</v>
      </c>
      <c r="T26" s="66" t="str">
        <f aca="false">IF($A26="","",IF(AND($L26="Outside provider",OR($E26="Intake",$E26="Active",$E26="Waiting")),"Yes","No"))</f>
        <v>No</v>
      </c>
    </row>
    <row r="27" customFormat="false" ht="15" hidden="false" customHeight="true" outlineLevel="0" collapsed="false">
      <c r="A27" s="67" t="s">
        <v>515</v>
      </c>
      <c r="B27" s="67" t="s">
        <v>516</v>
      </c>
      <c r="C27" s="67" t="s">
        <v>501</v>
      </c>
      <c r="D27" s="67" t="s">
        <v>517</v>
      </c>
      <c r="E27" s="67" t="str">
        <f aca="false">IF($A27="","",IFERROR(INDEX('Status map'!$D$6:$D$64,MATCH($C27&amp;" | "&amp;$D27,'Status map'!$I$6:$I$64,0)),"Unmapped"))</f>
        <v>Dormant</v>
      </c>
      <c r="F27" s="67" t="s">
        <v>510</v>
      </c>
      <c r="G27" s="70" t="n">
        <v>45836</v>
      </c>
      <c r="H27" s="70"/>
      <c r="I27" s="70" t="n">
        <v>46172</v>
      </c>
      <c r="J27" s="67" t="s">
        <v>492</v>
      </c>
      <c r="K27" s="67" t="s">
        <v>461</v>
      </c>
      <c r="L27" s="67" t="s">
        <v>451</v>
      </c>
      <c r="M27" s="66" t="n">
        <f aca="false">IF(OR($A27="",$H27&lt;&gt;""),"",Targets!$C$8-$I27)</f>
        <v>93</v>
      </c>
      <c r="N27" s="66" t="str">
        <f aca="false">IF($A27="","",IF(AND($F27="Project",$E27="Active",$M27&lt;&gt;"",$M27&gt;Targets!$C$12),"Yes","No"))</f>
        <v>No</v>
      </c>
      <c r="O27" s="66" t="str">
        <f aca="false">IF($A27="","",IF(AND($G27&gt;=Targets!$C$7,$G27&lt;=Targets!$C$8),"Yes","No"))</f>
        <v>No</v>
      </c>
      <c r="P27" s="66" t="str">
        <f aca="false">IF($A27="","",IF(AND($H27&lt;&gt;"",$H27&gt;=Targets!$C$7,$H27&lt;=Targets!$C$8),"Yes","No"))</f>
        <v>No</v>
      </c>
      <c r="Q27" s="66" t="str">
        <f aca="false">IF($A27="","",IF(AND($F27="Project",$E27&lt;&gt;"Closed",$E27&lt;&gt;"Dormant"),"Yes","No"))</f>
        <v>No</v>
      </c>
      <c r="R27" s="66" t="str">
        <f aca="false">IF($A27="","",IF(AND($L27="In-house",OR($E27="Intake",$E27="Active",$E27="Waiting")),"Yes","No"))</f>
        <v>No</v>
      </c>
      <c r="S27" s="66" t="str">
        <f aca="false">IF($A27="","",$C27&amp;" | "&amp;$D27)</f>
        <v>M&amp;A and corporate deals | Post-closing obligations tracked</v>
      </c>
      <c r="T27" s="66" t="str">
        <f aca="false">IF($A27="","",IF(AND($L27="Outside provider",OR($E27="Intake",$E27="Active",$E27="Waiting")),"Yes","No"))</f>
        <v>No</v>
      </c>
    </row>
    <row r="28" customFormat="false" ht="15" hidden="false" customHeight="true" outlineLevel="0" collapsed="false">
      <c r="A28" s="63" t="s">
        <v>518</v>
      </c>
      <c r="B28" s="63" t="s">
        <v>519</v>
      </c>
      <c r="C28" s="63" t="s">
        <v>465</v>
      </c>
      <c r="D28" s="63" t="s">
        <v>469</v>
      </c>
      <c r="E28" s="63" t="str">
        <f aca="false">IF($A28="","",IFERROR(INDEX('Status map'!$D$6:$D$64,MATCH($C28&amp;" | "&amp;$D28,'Status map'!$I$6:$I$64,0)),"Unmapped"))</f>
        <v>Active</v>
      </c>
      <c r="F28" s="63" t="s">
        <v>448</v>
      </c>
      <c r="G28" s="69" t="n">
        <v>46134</v>
      </c>
      <c r="H28" s="69"/>
      <c r="I28" s="69" t="n">
        <v>46228</v>
      </c>
      <c r="J28" s="63" t="s">
        <v>449</v>
      </c>
      <c r="K28" s="63" t="s">
        <v>462</v>
      </c>
      <c r="L28" s="63" t="s">
        <v>451</v>
      </c>
      <c r="M28" s="66" t="n">
        <f aca="false">IF(OR($A28="",$H28&lt;&gt;""),"",Targets!$C$8-$I28)</f>
        <v>37</v>
      </c>
      <c r="N28" s="66" t="str">
        <f aca="false">IF($A28="","",IF(AND($F28="Project",$E28="Active",$M28&lt;&gt;"",$M28&gt;Targets!$C$12),"Yes","No"))</f>
        <v>Yes</v>
      </c>
      <c r="O28" s="66" t="str">
        <f aca="false">IF($A28="","",IF(AND($G28&gt;=Targets!$C$7,$G28&lt;=Targets!$C$8),"Yes","No"))</f>
        <v>No</v>
      </c>
      <c r="P28" s="66" t="str">
        <f aca="false">IF($A28="","",IF(AND($H28&lt;&gt;"",$H28&gt;=Targets!$C$7,$H28&lt;=Targets!$C$8),"Yes","No"))</f>
        <v>No</v>
      </c>
      <c r="Q28" s="66" t="str">
        <f aca="false">IF($A28="","",IF(AND($F28="Project",$E28&lt;&gt;"Closed",$E28&lt;&gt;"Dormant"),"Yes","No"))</f>
        <v>Yes</v>
      </c>
      <c r="R28" s="66" t="str">
        <f aca="false">IF($A28="","",IF(AND($L28="In-house",OR($E28="Intake",$E28="Active",$E28="Waiting")),"Yes","No"))</f>
        <v>Yes</v>
      </c>
      <c r="S28" s="66" t="str">
        <f aca="false">IF($A28="","",$C28&amp;" | "&amp;$D28)</f>
        <v>Immigration and visas | Petition or an evidence response being prepared</v>
      </c>
      <c r="T28" s="66" t="str">
        <f aca="false">IF($A28="","",IF(AND($L28="Outside provider",OR($E28="Intake",$E28="Active",$E28="Waiting")),"Yes","No"))</f>
        <v>No</v>
      </c>
    </row>
    <row r="29" customFormat="false" ht="15" hidden="false" customHeight="true" outlineLevel="0" collapsed="false">
      <c r="A29" s="67" t="s">
        <v>520</v>
      </c>
      <c r="B29" s="67" t="s">
        <v>521</v>
      </c>
      <c r="C29" s="67" t="s">
        <v>454</v>
      </c>
      <c r="D29" s="67" t="s">
        <v>522</v>
      </c>
      <c r="E29" s="67" t="str">
        <f aca="false">IF($A29="","",IFERROR(INDEX('Status map'!$D$6:$D$64,MATCH($C29&amp;" | "&amp;$D29,'Status map'!$I$6:$I$64,0)),"Unmapped"))</f>
        <v>Waiting</v>
      </c>
      <c r="F29" s="67" t="s">
        <v>448</v>
      </c>
      <c r="G29" s="70" t="n">
        <v>45942</v>
      </c>
      <c r="H29" s="70"/>
      <c r="I29" s="70" t="n">
        <v>46240</v>
      </c>
      <c r="J29" s="67" t="s">
        <v>474</v>
      </c>
      <c r="K29" s="67" t="s">
        <v>461</v>
      </c>
      <c r="L29" s="67" t="s">
        <v>451</v>
      </c>
      <c r="M29" s="66" t="n">
        <f aca="false">IF(OR($A29="",$H29&lt;&gt;""),"",Targets!$C$8-$I29)</f>
        <v>25</v>
      </c>
      <c r="N29" s="66" t="str">
        <f aca="false">IF($A29="","",IF(AND($F29="Project",$E29="Active",$M29&lt;&gt;"",$M29&gt;Targets!$C$12),"Yes","No"))</f>
        <v>No</v>
      </c>
      <c r="O29" s="66" t="str">
        <f aca="false">IF($A29="","",IF(AND($G29&gt;=Targets!$C$7,$G29&lt;=Targets!$C$8),"Yes","No"))</f>
        <v>No</v>
      </c>
      <c r="P29" s="66" t="str">
        <f aca="false">IF($A29="","",IF(AND($H29&lt;&gt;"",$H29&gt;=Targets!$C$7,$H29&lt;=Targets!$C$8),"Yes","No"))</f>
        <v>No</v>
      </c>
      <c r="Q29" s="66" t="str">
        <f aca="false">IF($A29="","",IF(AND($F29="Project",$E29&lt;&gt;"Closed",$E29&lt;&gt;"Dormant"),"Yes","No"))</f>
        <v>Yes</v>
      </c>
      <c r="R29" s="66" t="str">
        <f aca="false">IF($A29="","",IF(AND($L29="In-house",OR($E29="Intake",$E29="Active",$E29="Waiting")),"Yes","No"))</f>
        <v>Yes</v>
      </c>
      <c r="S29" s="66" t="str">
        <f aca="false">IF($A29="","",$C29&amp;" | "&amp;$D29)</f>
        <v>Litigation | Stayed for a short period</v>
      </c>
      <c r="T29" s="66" t="str">
        <f aca="false">IF($A29="","",IF(AND($L29="Outside provider",OR($E29="Intake",$E29="Active",$E29="Waiting")),"Yes","No"))</f>
        <v>No</v>
      </c>
    </row>
    <row r="30" customFormat="false" ht="15" hidden="false" customHeight="true" outlineLevel="0" collapsed="false">
      <c r="A30" s="63" t="s">
        <v>523</v>
      </c>
      <c r="B30" s="63" t="s">
        <v>524</v>
      </c>
      <c r="C30" s="63" t="s">
        <v>446</v>
      </c>
      <c r="D30" s="63" t="s">
        <v>473</v>
      </c>
      <c r="E30" s="63" t="str">
        <f aca="false">IF($A30="","",IFERROR(INDEX('Status map'!$D$6:$D$64,MATCH($C30&amp;" | "&amp;$D30,'Status map'!$I$6:$I$64,0)),"Unmapped"))</f>
        <v>Closed</v>
      </c>
      <c r="F30" s="63" t="s">
        <v>482</v>
      </c>
      <c r="G30" s="69" t="n">
        <v>46001</v>
      </c>
      <c r="H30" s="69" t="n">
        <v>46030</v>
      </c>
      <c r="I30" s="69" t="n">
        <v>46030</v>
      </c>
      <c r="J30" s="63" t="s">
        <v>449</v>
      </c>
      <c r="K30" s="63" t="s">
        <v>450</v>
      </c>
      <c r="L30" s="63" t="s">
        <v>451</v>
      </c>
      <c r="M30" s="66" t="str">
        <f aca="false">IF(OR($A30="",$H30&lt;&gt;""),"",Targets!$C$8-$I30)</f>
        <v/>
      </c>
      <c r="N30" s="66" t="str">
        <f aca="false">IF($A30="","",IF(AND($F30="Project",$E30="Active",$M30&lt;&gt;"",$M30&gt;Targets!$C$12),"Yes","No"))</f>
        <v>No</v>
      </c>
      <c r="O30" s="66" t="str">
        <f aca="false">IF($A30="","",IF(AND($G30&gt;=Targets!$C$7,$G30&lt;=Targets!$C$8),"Yes","No"))</f>
        <v>No</v>
      </c>
      <c r="P30" s="66" t="str">
        <f aca="false">IF($A30="","",IF(AND($H30&lt;&gt;"",$H30&gt;=Targets!$C$7,$H30&lt;=Targets!$C$8),"Yes","No"))</f>
        <v>No</v>
      </c>
      <c r="Q30" s="66" t="str">
        <f aca="false">IF($A30="","",IF(AND($F30="Project",$E30&lt;&gt;"Closed",$E30&lt;&gt;"Dormant"),"Yes","No"))</f>
        <v>No</v>
      </c>
      <c r="R30" s="66" t="str">
        <f aca="false">IF($A30="","",IF(AND($L30="In-house",OR($E30="Intake",$E30="Active",$E30="Waiting")),"Yes","No"))</f>
        <v>No</v>
      </c>
      <c r="S30" s="66" t="str">
        <f aca="false">IF($A30="","",$C30&amp;" | "&amp;$D30)</f>
        <v>Employment | Resolved or closed</v>
      </c>
      <c r="T30" s="66" t="str">
        <f aca="false">IF($A30="","",IF(AND($L30="Outside provider",OR($E30="Intake",$E30="Active",$E30="Waiting")),"Yes","No"))</f>
        <v>No</v>
      </c>
    </row>
    <row r="31" customFormat="false" ht="15" hidden="false" customHeight="true" outlineLevel="0" collapsed="false">
      <c r="A31" s="67" t="s">
        <v>318</v>
      </c>
      <c r="B31" s="67" t="s">
        <v>525</v>
      </c>
      <c r="C31" s="67" t="s">
        <v>459</v>
      </c>
      <c r="D31" s="67" t="s">
        <v>478</v>
      </c>
      <c r="E31" s="67" t="str">
        <f aca="false">IF($A31="","",IFERROR(INDEX('Status map'!$D$6:$D$64,MATCH($C31&amp;" | "&amp;$D31,'Status map'!$I$6:$I$64,0)),"Unmapped"))</f>
        <v>Closed</v>
      </c>
      <c r="F31" s="67" t="s">
        <v>448</v>
      </c>
      <c r="G31" s="70" t="n">
        <v>46251</v>
      </c>
      <c r="H31" s="70" t="n">
        <v>46263</v>
      </c>
      <c r="I31" s="70" t="n">
        <v>46263</v>
      </c>
      <c r="J31" s="67" t="s">
        <v>450</v>
      </c>
      <c r="K31" s="67" t="s">
        <v>462</v>
      </c>
      <c r="L31" s="67" t="s">
        <v>451</v>
      </c>
      <c r="M31" s="66" t="str">
        <f aca="false">IF(OR($A31="",$H31&lt;&gt;""),"",Targets!$C$8-$I31)</f>
        <v/>
      </c>
      <c r="N31" s="66" t="str">
        <f aca="false">IF($A31="","",IF(AND($F31="Project",$E31="Active",$M31&lt;&gt;"",$M31&gt;Targets!$C$12),"Yes","No"))</f>
        <v>No</v>
      </c>
      <c r="O31" s="66" t="str">
        <f aca="false">IF($A31="","",IF(AND($G31&gt;=Targets!$C$7,$G31&lt;=Targets!$C$8),"Yes","No"))</f>
        <v>Yes</v>
      </c>
      <c r="P31" s="66" t="str">
        <f aca="false">IF($A31="","",IF(AND($H31&lt;&gt;"",$H31&gt;=Targets!$C$7,$H31&lt;=Targets!$C$8),"Yes","No"))</f>
        <v>Yes</v>
      </c>
      <c r="Q31" s="66" t="str">
        <f aca="false">IF($A31="","",IF(AND($F31="Project",$E31&lt;&gt;"Closed",$E31&lt;&gt;"Dormant"),"Yes","No"))</f>
        <v>No</v>
      </c>
      <c r="R31" s="66" t="str">
        <f aca="false">IF($A31="","",IF(AND($L31="In-house",OR($E31="Intake",$E31="Active",$E31="Waiting")),"Yes","No"))</f>
        <v>No</v>
      </c>
      <c r="S31" s="66" t="str">
        <f aca="false">IF($A31="","",$C31&amp;" | "&amp;$D31)</f>
        <v>Contracts | Executed</v>
      </c>
      <c r="T31" s="66" t="str">
        <f aca="false">IF($A31="","",IF(AND($L31="Outside provider",OR($E31="Intake",$E31="Active",$E31="Waiting")),"Yes","No"))</f>
        <v>No</v>
      </c>
    </row>
    <row r="32" customFormat="false" ht="15" hidden="false" customHeight="true" outlineLevel="0" collapsed="false">
      <c r="A32" s="63" t="s">
        <v>526</v>
      </c>
      <c r="B32" s="63" t="s">
        <v>527</v>
      </c>
      <c r="C32" s="63" t="s">
        <v>459</v>
      </c>
      <c r="D32" s="63" t="s">
        <v>481</v>
      </c>
      <c r="E32" s="63" t="str">
        <f aca="false">IF($A32="","",IFERROR(INDEX('Status map'!$D$6:$D$64,MATCH($C32&amp;" | "&amp;$D32,'Status map'!$I$6:$I$64,0)),"Unmapped"))</f>
        <v>Closed</v>
      </c>
      <c r="F32" s="63" t="s">
        <v>482</v>
      </c>
      <c r="G32" s="69" t="n">
        <v>46111</v>
      </c>
      <c r="H32" s="69" t="n">
        <v>46237</v>
      </c>
      <c r="I32" s="69" t="n">
        <v>46237</v>
      </c>
      <c r="J32" s="63" t="s">
        <v>449</v>
      </c>
      <c r="K32" s="63" t="s">
        <v>474</v>
      </c>
      <c r="L32" s="63" t="s">
        <v>451</v>
      </c>
      <c r="M32" s="66" t="str">
        <f aca="false">IF(OR($A32="",$H32&lt;&gt;""),"",Targets!$C$8-$I32)</f>
        <v/>
      </c>
      <c r="N32" s="66" t="str">
        <f aca="false">IF($A32="","",IF(AND($F32="Project",$E32="Active",$M32&lt;&gt;"",$M32&gt;Targets!$C$12),"Yes","No"))</f>
        <v>No</v>
      </c>
      <c r="O32" s="66" t="str">
        <f aca="false">IF($A32="","",IF(AND($G32&gt;=Targets!$C$7,$G32&lt;=Targets!$C$8),"Yes","No"))</f>
        <v>No</v>
      </c>
      <c r="P32" s="66" t="str">
        <f aca="false">IF($A32="","",IF(AND($H32&lt;&gt;"",$H32&gt;=Targets!$C$7,$H32&lt;=Targets!$C$8),"Yes","No"))</f>
        <v>Yes</v>
      </c>
      <c r="Q32" s="66" t="str">
        <f aca="false">IF($A32="","",IF(AND($F32="Project",$E32&lt;&gt;"Closed",$E32&lt;&gt;"Dormant"),"Yes","No"))</f>
        <v>No</v>
      </c>
      <c r="R32" s="66" t="str">
        <f aca="false">IF($A32="","",IF(AND($L32="In-house",OR($E32="Intake",$E32="Active",$E32="Waiting")),"Yes","No"))</f>
        <v>No</v>
      </c>
      <c r="S32" s="66" t="str">
        <f aca="false">IF($A32="","",$C32&amp;" | "&amp;$D32)</f>
        <v>Contracts | Expired or terminated</v>
      </c>
      <c r="T32" s="66" t="str">
        <f aca="false">IF($A32="","",IF(AND($L32="Outside provider",OR($E32="Intake",$E32="Active",$E32="Waiting")),"Yes","No"))</f>
        <v>No</v>
      </c>
    </row>
    <row r="33" customFormat="false" ht="15" hidden="false" customHeight="true" outlineLevel="0" collapsed="false">
      <c r="A33" s="67" t="s">
        <v>401</v>
      </c>
      <c r="B33" s="67" t="s">
        <v>528</v>
      </c>
      <c r="C33" s="67" t="s">
        <v>465</v>
      </c>
      <c r="D33" s="67" t="s">
        <v>469</v>
      </c>
      <c r="E33" s="67" t="str">
        <f aca="false">IF($A33="","",IFERROR(INDEX('Status map'!$D$6:$D$64,MATCH($C33&amp;" | "&amp;$D33,'Status map'!$I$6:$I$64,0)),"Unmapped"))</f>
        <v>Active</v>
      </c>
      <c r="F33" s="67" t="s">
        <v>448</v>
      </c>
      <c r="G33" s="70" t="n">
        <v>46254</v>
      </c>
      <c r="H33" s="70"/>
      <c r="I33" s="70" t="n">
        <v>46247</v>
      </c>
      <c r="J33" s="67" t="s">
        <v>474</v>
      </c>
      <c r="K33" s="67" t="s">
        <v>492</v>
      </c>
      <c r="L33" s="67" t="s">
        <v>451</v>
      </c>
      <c r="M33" s="66" t="n">
        <f aca="false">IF(OR($A33="",$H33&lt;&gt;""),"",Targets!$C$8-$I33)</f>
        <v>18</v>
      </c>
      <c r="N33" s="66" t="str">
        <f aca="false">IF($A33="","",IF(AND($F33="Project",$E33="Active",$M33&lt;&gt;"",$M33&gt;Targets!$C$12),"Yes","No"))</f>
        <v>No</v>
      </c>
      <c r="O33" s="66" t="str">
        <f aca="false">IF($A33="","",IF(AND($G33&gt;=Targets!$C$7,$G33&lt;=Targets!$C$8),"Yes","No"))</f>
        <v>Yes</v>
      </c>
      <c r="P33" s="66" t="str">
        <f aca="false">IF($A33="","",IF(AND($H33&lt;&gt;"",$H33&gt;=Targets!$C$7,$H33&lt;=Targets!$C$8),"Yes","No"))</f>
        <v>No</v>
      </c>
      <c r="Q33" s="66" t="str">
        <f aca="false">IF($A33="","",IF(AND($F33="Project",$E33&lt;&gt;"Closed",$E33&lt;&gt;"Dormant"),"Yes","No"))</f>
        <v>Yes</v>
      </c>
      <c r="R33" s="66" t="str">
        <f aca="false">IF($A33="","",IF(AND($L33="In-house",OR($E33="Intake",$E33="Active",$E33="Waiting")),"Yes","No"))</f>
        <v>Yes</v>
      </c>
      <c r="S33" s="66" t="str">
        <f aca="false">IF($A33="","",$C33&amp;" | "&amp;$D33)</f>
        <v>Immigration and visas | Petition or an evidence response being prepared</v>
      </c>
      <c r="T33" s="66" t="str">
        <f aca="false">IF($A33="","",IF(AND($L33="Outside provider",OR($E33="Intake",$E33="Active",$E33="Waiting")),"Yes","No"))</f>
        <v>No</v>
      </c>
    </row>
    <row r="34" customFormat="false" ht="15" hidden="false" customHeight="true" outlineLevel="0" collapsed="false">
      <c r="A34" s="63" t="s">
        <v>529</v>
      </c>
      <c r="B34" s="63" t="s">
        <v>530</v>
      </c>
      <c r="C34" s="63" t="s">
        <v>501</v>
      </c>
      <c r="D34" s="63" t="s">
        <v>531</v>
      </c>
      <c r="E34" s="63" t="str">
        <f aca="false">IF($A34="","",IFERROR(INDEX('Status map'!$D$6:$D$64,MATCH($C34&amp;" | "&amp;$D34,'Status map'!$I$6:$I$64,0)),"Unmapped"))</f>
        <v>Waiting</v>
      </c>
      <c r="F34" s="63" t="s">
        <v>448</v>
      </c>
      <c r="G34" s="69" t="n">
        <v>45977</v>
      </c>
      <c r="H34" s="69"/>
      <c r="I34" s="69" t="n">
        <v>46249</v>
      </c>
      <c r="J34" s="63" t="s">
        <v>470</v>
      </c>
      <c r="K34" s="63" t="s">
        <v>470</v>
      </c>
      <c r="L34" s="63" t="s">
        <v>451</v>
      </c>
      <c r="M34" s="66" t="n">
        <f aca="false">IF(OR($A34="",$H34&lt;&gt;""),"",Targets!$C$8-$I34)</f>
        <v>16</v>
      </c>
      <c r="N34" s="66" t="str">
        <f aca="false">IF($A34="","",IF(AND($F34="Project",$E34="Active",$M34&lt;&gt;"",$M34&gt;Targets!$C$12),"Yes","No"))</f>
        <v>No</v>
      </c>
      <c r="O34" s="66" t="str">
        <f aca="false">IF($A34="","",IF(AND($G34&gt;=Targets!$C$7,$G34&lt;=Targets!$C$8),"Yes","No"))</f>
        <v>No</v>
      </c>
      <c r="P34" s="66" t="str">
        <f aca="false">IF($A34="","",IF(AND($H34&lt;&gt;"",$H34&gt;=Targets!$C$7,$H34&lt;=Targets!$C$8),"Yes","No"))</f>
        <v>No</v>
      </c>
      <c r="Q34" s="66" t="str">
        <f aca="false">IF($A34="","",IF(AND($F34="Project",$E34&lt;&gt;"Closed",$E34&lt;&gt;"Dormant"),"Yes","No"))</f>
        <v>Yes</v>
      </c>
      <c r="R34" s="66" t="str">
        <f aca="false">IF($A34="","",IF(AND($L34="In-house",OR($E34="Intake",$E34="Active",$E34="Waiting")),"Yes","No"))</f>
        <v>Yes</v>
      </c>
      <c r="S34" s="66" t="str">
        <f aca="false">IF($A34="","",$C34&amp;" | "&amp;$D34)</f>
        <v>M&amp;A and corporate deals | Signed, awaiting regulatory approval or closing conditions</v>
      </c>
      <c r="T34" s="66" t="str">
        <f aca="false">IF($A34="","",IF(AND($L34="Outside provider",OR($E34="Intake",$E34="Active",$E34="Waiting")),"Yes","No"))</f>
        <v>No</v>
      </c>
    </row>
    <row r="35" customFormat="false" ht="15" hidden="false" customHeight="true" outlineLevel="0" collapsed="false">
      <c r="A35" s="67" t="s">
        <v>532</v>
      </c>
      <c r="B35" s="67" t="s">
        <v>533</v>
      </c>
      <c r="C35" s="67" t="s">
        <v>459</v>
      </c>
      <c r="D35" s="67" t="s">
        <v>534</v>
      </c>
      <c r="E35" s="67" t="str">
        <f aca="false">IF($A35="","",IFERROR(INDEX('Status map'!$D$6:$D$64,MATCH($C35&amp;" | "&amp;$D35,'Status map'!$I$6:$I$64,0)),"Unmapped"))</f>
        <v>Dormant</v>
      </c>
      <c r="F35" s="67" t="s">
        <v>510</v>
      </c>
      <c r="G35" s="70" t="n">
        <v>45495</v>
      </c>
      <c r="H35" s="70"/>
      <c r="I35" s="70" t="n">
        <v>45994</v>
      </c>
      <c r="J35" s="67" t="s">
        <v>470</v>
      </c>
      <c r="K35" s="67" t="s">
        <v>461</v>
      </c>
      <c r="L35" s="67" t="s">
        <v>451</v>
      </c>
      <c r="M35" s="66" t="n">
        <f aca="false">IF(OR($A35="",$H35&lt;&gt;""),"",Targets!$C$8-$I35)</f>
        <v>271</v>
      </c>
      <c r="N35" s="66" t="str">
        <f aca="false">IF($A35="","",IF(AND($F35="Project",$E35="Active",$M35&lt;&gt;"",$M35&gt;Targets!$C$12),"Yes","No"))</f>
        <v>No</v>
      </c>
      <c r="O35" s="66" t="str">
        <f aca="false">IF($A35="","",IF(AND($G35&gt;=Targets!$C$7,$G35&lt;=Targets!$C$8),"Yes","No"))</f>
        <v>No</v>
      </c>
      <c r="P35" s="66" t="str">
        <f aca="false">IF($A35="","",IF(AND($H35&lt;&gt;"",$H35&gt;=Targets!$C$7,$H35&lt;=Targets!$C$8),"Yes","No"))</f>
        <v>No</v>
      </c>
      <c r="Q35" s="66" t="str">
        <f aca="false">IF($A35="","",IF(AND($F35="Project",$E35&lt;&gt;"Closed",$E35&lt;&gt;"Dormant"),"Yes","No"))</f>
        <v>No</v>
      </c>
      <c r="R35" s="66" t="str">
        <f aca="false">IF($A35="","",IF(AND($L35="In-house",OR($E35="Intake",$E35="Active",$E35="Waiting")),"Yes","No"))</f>
        <v>No</v>
      </c>
      <c r="S35" s="66" t="str">
        <f aca="false">IF($A35="","",$C35&amp;" | "&amp;$D35)</f>
        <v>Contracts | Standing agreement tracked for renewal</v>
      </c>
      <c r="T35" s="66" t="str">
        <f aca="false">IF($A35="","",IF(AND($L35="Outside provider",OR($E35="Intake",$E35="Active",$E35="Waiting")),"Yes","No"))</f>
        <v>No</v>
      </c>
    </row>
    <row r="36" customFormat="false" ht="15" hidden="false" customHeight="true" outlineLevel="0" collapsed="false">
      <c r="A36" s="63" t="s">
        <v>326</v>
      </c>
      <c r="B36" s="63" t="s">
        <v>535</v>
      </c>
      <c r="C36" s="63" t="s">
        <v>446</v>
      </c>
      <c r="D36" s="63" t="s">
        <v>473</v>
      </c>
      <c r="E36" s="63" t="str">
        <f aca="false">IF($A36="","",IFERROR(INDEX('Status map'!$D$6:$D$64,MATCH($C36&amp;" | "&amp;$D36,'Status map'!$I$6:$I$64,0)),"Unmapped"))</f>
        <v>Closed</v>
      </c>
      <c r="F36" s="63" t="s">
        <v>448</v>
      </c>
      <c r="G36" s="69" t="n">
        <v>46235</v>
      </c>
      <c r="H36" s="69" t="n">
        <v>46235</v>
      </c>
      <c r="I36" s="69" t="n">
        <v>46235</v>
      </c>
      <c r="J36" s="63" t="s">
        <v>462</v>
      </c>
      <c r="K36" s="63" t="s">
        <v>461</v>
      </c>
      <c r="L36" s="63" t="s">
        <v>451</v>
      </c>
      <c r="M36" s="66" t="str">
        <f aca="false">IF(OR($A36="",$H36&lt;&gt;""),"",Targets!$C$8-$I36)</f>
        <v/>
      </c>
      <c r="N36" s="66" t="str">
        <f aca="false">IF($A36="","",IF(AND($F36="Project",$E36="Active",$M36&lt;&gt;"",$M36&gt;Targets!$C$12),"Yes","No"))</f>
        <v>No</v>
      </c>
      <c r="O36" s="66" t="str">
        <f aca="false">IF($A36="","",IF(AND($G36&gt;=Targets!$C$7,$G36&lt;=Targets!$C$8),"Yes","No"))</f>
        <v>Yes</v>
      </c>
      <c r="P36" s="66" t="str">
        <f aca="false">IF($A36="","",IF(AND($H36&lt;&gt;"",$H36&gt;=Targets!$C$7,$H36&lt;=Targets!$C$8),"Yes","No"))</f>
        <v>Yes</v>
      </c>
      <c r="Q36" s="66" t="str">
        <f aca="false">IF($A36="","",IF(AND($F36="Project",$E36&lt;&gt;"Closed",$E36&lt;&gt;"Dormant"),"Yes","No"))</f>
        <v>No</v>
      </c>
      <c r="R36" s="66" t="str">
        <f aca="false">IF($A36="","",IF(AND($L36="In-house",OR($E36="Intake",$E36="Active",$E36="Waiting")),"Yes","No"))</f>
        <v>No</v>
      </c>
      <c r="S36" s="66" t="str">
        <f aca="false">IF($A36="","",$C36&amp;" | "&amp;$D36)</f>
        <v>Employment | Resolved or closed</v>
      </c>
      <c r="T36" s="66" t="str">
        <f aca="false">IF($A36="","",IF(AND($L36="Outside provider",OR($E36="Intake",$E36="Active",$E36="Waiting")),"Yes","No"))</f>
        <v>No</v>
      </c>
    </row>
    <row r="37" customFormat="false" ht="15" hidden="false" customHeight="true" outlineLevel="0" collapsed="false">
      <c r="A37" s="67" t="s">
        <v>536</v>
      </c>
      <c r="B37" s="67" t="s">
        <v>537</v>
      </c>
      <c r="C37" s="67" t="s">
        <v>465</v>
      </c>
      <c r="D37" s="67" t="s">
        <v>466</v>
      </c>
      <c r="E37" s="67" t="str">
        <f aca="false">IF($A37="","",IFERROR(INDEX('Status map'!$D$6:$D$64,MATCH($C37&amp;" | "&amp;$D37,'Status map'!$I$6:$I$64,0)),"Unmapped"))</f>
        <v>Closed</v>
      </c>
      <c r="F37" s="67" t="s">
        <v>448</v>
      </c>
      <c r="G37" s="70" t="n">
        <v>46188</v>
      </c>
      <c r="H37" s="70" t="n">
        <v>46242</v>
      </c>
      <c r="I37" s="70" t="n">
        <v>46242</v>
      </c>
      <c r="J37" s="67" t="s">
        <v>462</v>
      </c>
      <c r="K37" s="67" t="s">
        <v>538</v>
      </c>
      <c r="L37" s="67" t="s">
        <v>496</v>
      </c>
      <c r="M37" s="66" t="str">
        <f aca="false">IF(OR($A37="",$H37&lt;&gt;""),"",Targets!$C$8-$I37)</f>
        <v/>
      </c>
      <c r="N37" s="66" t="str">
        <f aca="false">IF($A37="","",IF(AND($F37="Project",$E37="Active",$M37&lt;&gt;"",$M37&gt;Targets!$C$12),"Yes","No"))</f>
        <v>No</v>
      </c>
      <c r="O37" s="66" t="str">
        <f aca="false">IF($A37="","",IF(AND($G37&gt;=Targets!$C$7,$G37&lt;=Targets!$C$8),"Yes","No"))</f>
        <v>No</v>
      </c>
      <c r="P37" s="66" t="str">
        <f aca="false">IF($A37="","",IF(AND($H37&lt;&gt;"",$H37&gt;=Targets!$C$7,$H37&lt;=Targets!$C$8),"Yes","No"))</f>
        <v>Yes</v>
      </c>
      <c r="Q37" s="66" t="str">
        <f aca="false">IF($A37="","",IF(AND($F37="Project",$E37&lt;&gt;"Closed",$E37&lt;&gt;"Dormant"),"Yes","No"))</f>
        <v>No</v>
      </c>
      <c r="R37" s="66" t="str">
        <f aca="false">IF($A37="","",IF(AND($L37="In-house",OR($E37="Intake",$E37="Active",$E37="Waiting")),"Yes","No"))</f>
        <v>No</v>
      </c>
      <c r="S37" s="66" t="str">
        <f aca="false">IF($A37="","",$C37&amp;" | "&amp;$D37)</f>
        <v>Immigration and visas | Denied or withdrawn</v>
      </c>
      <c r="T37" s="66" t="str">
        <f aca="false">IF($A37="","",IF(AND($L37="Outside provider",OR($E37="Intake",$E37="Active",$E37="Waiting")),"Yes","No"))</f>
        <v>No</v>
      </c>
    </row>
    <row r="38" customFormat="false" ht="15" hidden="false" customHeight="true" outlineLevel="0" collapsed="false">
      <c r="A38" s="63" t="s">
        <v>321</v>
      </c>
      <c r="B38" s="63" t="s">
        <v>539</v>
      </c>
      <c r="C38" s="63" t="s">
        <v>446</v>
      </c>
      <c r="D38" s="63" t="s">
        <v>447</v>
      </c>
      <c r="E38" s="63" t="str">
        <f aca="false">IF($A38="","",IFERROR(INDEX('Status map'!$D$6:$D$64,MATCH($C38&amp;" | "&amp;$D38,'Status map'!$I$6:$I$64,0)),"Unmapped"))</f>
        <v>Intake</v>
      </c>
      <c r="F38" s="63" t="s">
        <v>448</v>
      </c>
      <c r="G38" s="69" t="n">
        <v>46243</v>
      </c>
      <c r="H38" s="69"/>
      <c r="I38" s="69" t="n">
        <v>46238</v>
      </c>
      <c r="J38" s="63" t="s">
        <v>449</v>
      </c>
      <c r="K38" s="63" t="s">
        <v>492</v>
      </c>
      <c r="L38" s="63" t="s">
        <v>451</v>
      </c>
      <c r="M38" s="66" t="n">
        <f aca="false">IF(OR($A38="",$H38&lt;&gt;""),"",Targets!$C$8-$I38)</f>
        <v>27</v>
      </c>
      <c r="N38" s="66" t="str">
        <f aca="false">IF($A38="","",IF(AND($F38="Project",$E38="Active",$M38&lt;&gt;"",$M38&gt;Targets!$C$12),"Yes","No"))</f>
        <v>No</v>
      </c>
      <c r="O38" s="66" t="str">
        <f aca="false">IF($A38="","",IF(AND($G38&gt;=Targets!$C$7,$G38&lt;=Targets!$C$8),"Yes","No"))</f>
        <v>Yes</v>
      </c>
      <c r="P38" s="66" t="str">
        <f aca="false">IF($A38="","",IF(AND($H38&lt;&gt;"",$H38&gt;=Targets!$C$7,$H38&lt;=Targets!$C$8),"Yes","No"))</f>
        <v>No</v>
      </c>
      <c r="Q38" s="66" t="str">
        <f aca="false">IF($A38="","",IF(AND($F38="Project",$E38&lt;&gt;"Closed",$E38&lt;&gt;"Dormant"),"Yes","No"))</f>
        <v>Yes</v>
      </c>
      <c r="R38" s="66" t="str">
        <f aca="false">IF($A38="","",IF(AND($L38="In-house",OR($E38="Intake",$E38="Active",$E38="Waiting")),"Yes","No"))</f>
        <v>Yes</v>
      </c>
      <c r="S38" s="66" t="str">
        <f aca="false">IF($A38="","",$C38&amp;" | "&amp;$D38)</f>
        <v>Employment | Complaint or claim received</v>
      </c>
      <c r="T38" s="66" t="str">
        <f aca="false">IF($A38="","",IF(AND($L38="Outside provider",OR($E38="Intake",$E38="Active",$E38="Waiting")),"Yes","No"))</f>
        <v>No</v>
      </c>
    </row>
    <row r="39" customFormat="false" ht="15" hidden="false" customHeight="true" outlineLevel="0" collapsed="false">
      <c r="A39" s="67" t="s">
        <v>420</v>
      </c>
      <c r="B39" s="67" t="s">
        <v>540</v>
      </c>
      <c r="C39" s="67" t="s">
        <v>501</v>
      </c>
      <c r="D39" s="67" t="s">
        <v>502</v>
      </c>
      <c r="E39" s="67" t="str">
        <f aca="false">IF($A39="","",IFERROR(INDEX('Status map'!$D$6:$D$64,MATCH($C39&amp;" | "&amp;$D39,'Status map'!$I$6:$I$64,0)),"Unmapped"))</f>
        <v>Closed</v>
      </c>
      <c r="F39" s="67" t="s">
        <v>448</v>
      </c>
      <c r="G39" s="70" t="n">
        <v>46236</v>
      </c>
      <c r="H39" s="70" t="n">
        <v>46243</v>
      </c>
      <c r="I39" s="70" t="n">
        <v>46243</v>
      </c>
      <c r="J39" s="67" t="s">
        <v>450</v>
      </c>
      <c r="K39" s="67" t="s">
        <v>456</v>
      </c>
      <c r="L39" s="67" t="s">
        <v>451</v>
      </c>
      <c r="M39" s="66" t="str">
        <f aca="false">IF(OR($A39="",$H39&lt;&gt;""),"",Targets!$C$8-$I39)</f>
        <v/>
      </c>
      <c r="N39" s="66" t="str">
        <f aca="false">IF($A39="","",IF(AND($F39="Project",$E39="Active",$M39&lt;&gt;"",$M39&gt;Targets!$C$12),"Yes","No"))</f>
        <v>No</v>
      </c>
      <c r="O39" s="66" t="str">
        <f aca="false">IF($A39="","",IF(AND($G39&gt;=Targets!$C$7,$G39&lt;=Targets!$C$8),"Yes","No"))</f>
        <v>Yes</v>
      </c>
      <c r="P39" s="66" t="str">
        <f aca="false">IF($A39="","",IF(AND($H39&lt;&gt;"",$H39&gt;=Targets!$C$7,$H39&lt;=Targets!$C$8),"Yes","No"))</f>
        <v>Yes</v>
      </c>
      <c r="Q39" s="66" t="str">
        <f aca="false">IF($A39="","",IF(AND($F39="Project",$E39&lt;&gt;"Closed",$E39&lt;&gt;"Dormant"),"Yes","No"))</f>
        <v>No</v>
      </c>
      <c r="R39" s="66" t="str">
        <f aca="false">IF($A39="","",IF(AND($L39="In-house",OR($E39="Intake",$E39="Active",$E39="Waiting")),"Yes","No"))</f>
        <v>No</v>
      </c>
      <c r="S39" s="66" t="str">
        <f aca="false">IF($A39="","",$C39&amp;" | "&amp;$D39)</f>
        <v>M&amp;A and corporate deals | Deal closed</v>
      </c>
      <c r="T39" s="66" t="str">
        <f aca="false">IF($A39="","",IF(AND($L39="Outside provider",OR($E39="Intake",$E39="Active",$E39="Waiting")),"Yes","No"))</f>
        <v>No</v>
      </c>
    </row>
    <row r="40" customFormat="false" ht="15" hidden="false" customHeight="true" outlineLevel="0" collapsed="false">
      <c r="A40" s="63" t="s">
        <v>541</v>
      </c>
      <c r="B40" s="63" t="s">
        <v>542</v>
      </c>
      <c r="C40" s="63" t="s">
        <v>446</v>
      </c>
      <c r="D40" s="63" t="s">
        <v>473</v>
      </c>
      <c r="E40" s="63" t="str">
        <f aca="false">IF($A40="","",IFERROR(INDEX('Status map'!$D$6:$D$64,MATCH($C40&amp;" | "&amp;$D40,'Status map'!$I$6:$I$64,0)),"Unmapped"))</f>
        <v>Closed</v>
      </c>
      <c r="F40" s="63" t="s">
        <v>482</v>
      </c>
      <c r="G40" s="69" t="n">
        <v>46115</v>
      </c>
      <c r="H40" s="69" t="n">
        <v>46216</v>
      </c>
      <c r="I40" s="69" t="n">
        <v>46216</v>
      </c>
      <c r="J40" s="63" t="s">
        <v>462</v>
      </c>
      <c r="K40" s="63" t="s">
        <v>449</v>
      </c>
      <c r="L40" s="63" t="s">
        <v>451</v>
      </c>
      <c r="M40" s="66" t="str">
        <f aca="false">IF(OR($A40="",$H40&lt;&gt;""),"",Targets!$C$8-$I40)</f>
        <v/>
      </c>
      <c r="N40" s="66" t="str">
        <f aca="false">IF($A40="","",IF(AND($F40="Project",$E40="Active",$M40&lt;&gt;"",$M40&gt;Targets!$C$12),"Yes","No"))</f>
        <v>No</v>
      </c>
      <c r="O40" s="66" t="str">
        <f aca="false">IF($A40="","",IF(AND($G40&gt;=Targets!$C$7,$G40&lt;=Targets!$C$8),"Yes","No"))</f>
        <v>No</v>
      </c>
      <c r="P40" s="66" t="str">
        <f aca="false">IF($A40="","",IF(AND($H40&lt;&gt;"",$H40&gt;=Targets!$C$7,$H40&lt;=Targets!$C$8),"Yes","No"))</f>
        <v>No</v>
      </c>
      <c r="Q40" s="66" t="str">
        <f aca="false">IF($A40="","",IF(AND($F40="Project",$E40&lt;&gt;"Closed",$E40&lt;&gt;"Dormant"),"Yes","No"))</f>
        <v>No</v>
      </c>
      <c r="R40" s="66" t="str">
        <f aca="false">IF($A40="","",IF(AND($L40="In-house",OR($E40="Intake",$E40="Active",$E40="Waiting")),"Yes","No"))</f>
        <v>No</v>
      </c>
      <c r="S40" s="66" t="str">
        <f aca="false">IF($A40="","",$C40&amp;" | "&amp;$D40)</f>
        <v>Employment | Resolved or closed</v>
      </c>
      <c r="T40" s="66" t="str">
        <f aca="false">IF($A40="","",IF(AND($L40="Outside provider",OR($E40="Intake",$E40="Active",$E40="Waiting")),"Yes","No"))</f>
        <v>No</v>
      </c>
    </row>
    <row r="41" customFormat="false" ht="15" hidden="false" customHeight="true" outlineLevel="0" collapsed="false">
      <c r="A41" s="67" t="s">
        <v>543</v>
      </c>
      <c r="B41" s="67" t="s">
        <v>544</v>
      </c>
      <c r="C41" s="67" t="s">
        <v>446</v>
      </c>
      <c r="D41" s="67" t="s">
        <v>545</v>
      </c>
      <c r="E41" s="67" t="str">
        <f aca="false">IF($A41="","",IFERROR(INDEX('Status map'!$D$6:$D$64,MATCH($C41&amp;" | "&amp;$D41,'Status map'!$I$6:$I$64,0)),"Unmapped"))</f>
        <v>Active</v>
      </c>
      <c r="F41" s="67" t="s">
        <v>482</v>
      </c>
      <c r="G41" s="70" t="n">
        <v>46222</v>
      </c>
      <c r="H41" s="70"/>
      <c r="I41" s="70" t="n">
        <v>46257</v>
      </c>
      <c r="J41" s="67" t="s">
        <v>462</v>
      </c>
      <c r="K41" s="67" t="s">
        <v>456</v>
      </c>
      <c r="L41" s="67" t="s">
        <v>451</v>
      </c>
      <c r="M41" s="66" t="n">
        <f aca="false">IF(OR($A41="",$H41&lt;&gt;""),"",Targets!$C$8-$I41)</f>
        <v>8</v>
      </c>
      <c r="N41" s="66" t="str">
        <f aca="false">IF($A41="","",IF(AND($F41="Project",$E41="Active",$M41&lt;&gt;"",$M41&gt;Targets!$C$12),"Yes","No"))</f>
        <v>No</v>
      </c>
      <c r="O41" s="66" t="str">
        <f aca="false">IF($A41="","",IF(AND($G41&gt;=Targets!$C$7,$G41&lt;=Targets!$C$8),"Yes","No"))</f>
        <v>No</v>
      </c>
      <c r="P41" s="66" t="str">
        <f aca="false">IF($A41="","",IF(AND($H41&lt;&gt;"",$H41&gt;=Targets!$C$7,$H41&lt;=Targets!$C$8),"Yes","No"))</f>
        <v>No</v>
      </c>
      <c r="Q41" s="66" t="str">
        <f aca="false">IF($A41="","",IF(AND($F41="Project",$E41&lt;&gt;"Closed",$E41&lt;&gt;"Dormant"),"Yes","No"))</f>
        <v>No</v>
      </c>
      <c r="R41" s="66" t="str">
        <f aca="false">IF($A41="","",IF(AND($L41="In-house",OR($E41="Intake",$E41="Active",$E41="Waiting")),"Yes","No"))</f>
        <v>Yes</v>
      </c>
      <c r="S41" s="66" t="str">
        <f aca="false">IF($A41="","",$C41&amp;" | "&amp;$D41)</f>
        <v>Employment | Investigation underway</v>
      </c>
      <c r="T41" s="66" t="str">
        <f aca="false">IF($A41="","",IF(AND($L41="Outside provider",OR($E41="Intake",$E41="Active",$E41="Waiting")),"Yes","No"))</f>
        <v>No</v>
      </c>
    </row>
    <row r="42" customFormat="false" ht="15" hidden="false" customHeight="true" outlineLevel="0" collapsed="false">
      <c r="A42" s="63" t="s">
        <v>546</v>
      </c>
      <c r="B42" s="63" t="s">
        <v>547</v>
      </c>
      <c r="C42" s="63" t="s">
        <v>487</v>
      </c>
      <c r="D42" s="63" t="s">
        <v>548</v>
      </c>
      <c r="E42" s="63" t="str">
        <f aca="false">IF($A42="","",IFERROR(INDEX('Status map'!$D$6:$D$64,MATCH($C42&amp;" | "&amp;$D42,'Status map'!$I$6:$I$64,0)),"Unmapped"))</f>
        <v>Dormant</v>
      </c>
      <c r="F42" s="63" t="s">
        <v>510</v>
      </c>
      <c r="G42" s="69" t="n">
        <v>45814</v>
      </c>
      <c r="H42" s="69"/>
      <c r="I42" s="69" t="n">
        <v>46182</v>
      </c>
      <c r="J42" s="63" t="s">
        <v>470</v>
      </c>
      <c r="K42" s="63" t="s">
        <v>492</v>
      </c>
      <c r="L42" s="63" t="s">
        <v>451</v>
      </c>
      <c r="M42" s="66" t="n">
        <f aca="false">IF(OR($A42="",$H42&lt;&gt;""),"",Targets!$C$8-$I42)</f>
        <v>83</v>
      </c>
      <c r="N42" s="66" t="str">
        <f aca="false">IF($A42="","",IF(AND($F42="Project",$E42="Active",$M42&lt;&gt;"",$M42&gt;Targets!$C$12),"Yes","No"))</f>
        <v>No</v>
      </c>
      <c r="O42" s="66" t="str">
        <f aca="false">IF($A42="","",IF(AND($G42&gt;=Targets!$C$7,$G42&lt;=Targets!$C$8),"Yes","No"))</f>
        <v>No</v>
      </c>
      <c r="P42" s="66" t="str">
        <f aca="false">IF($A42="","",IF(AND($H42&lt;&gt;"",$H42&gt;=Targets!$C$7,$H42&lt;=Targets!$C$8),"Yes","No"))</f>
        <v>No</v>
      </c>
      <c r="Q42" s="66" t="str">
        <f aca="false">IF($A42="","",IF(AND($F42="Project",$E42&lt;&gt;"Closed",$E42&lt;&gt;"Dormant"),"Yes","No"))</f>
        <v>No</v>
      </c>
      <c r="R42" s="66" t="str">
        <f aca="false">IF($A42="","",IF(AND($L42="In-house",OR($E42="Intake",$E42="Active",$E42="Waiting")),"Yes","No"))</f>
        <v>No</v>
      </c>
      <c r="S42" s="66" t="str">
        <f aca="false">IF($A42="","",$C42&amp;" | "&amp;$D42)</f>
        <v>Corporate and entity management | Entity in good standing</v>
      </c>
      <c r="T42" s="66" t="str">
        <f aca="false">IF($A42="","",IF(AND($L42="Outside provider",OR($E42="Intake",$E42="Active",$E42="Waiting")),"Yes","No"))</f>
        <v>No</v>
      </c>
    </row>
    <row r="43" customFormat="false" ht="15" hidden="false" customHeight="true" outlineLevel="0" collapsed="false">
      <c r="A43" s="67" t="s">
        <v>549</v>
      </c>
      <c r="B43" s="67" t="s">
        <v>550</v>
      </c>
      <c r="C43" s="67" t="s">
        <v>459</v>
      </c>
      <c r="D43" s="67" t="s">
        <v>491</v>
      </c>
      <c r="E43" s="67" t="str">
        <f aca="false">IF($A43="","",IFERROR(INDEX('Status map'!$D$6:$D$64,MATCH($C43&amp;" | "&amp;$D43,'Status map'!$I$6:$I$64,0)),"Unmapped"))</f>
        <v>Active</v>
      </c>
      <c r="F43" s="67" t="s">
        <v>482</v>
      </c>
      <c r="G43" s="70" t="n">
        <v>46154</v>
      </c>
      <c r="H43" s="70"/>
      <c r="I43" s="70" t="n">
        <v>46248</v>
      </c>
      <c r="J43" s="67" t="s">
        <v>492</v>
      </c>
      <c r="K43" s="67" t="s">
        <v>456</v>
      </c>
      <c r="L43" s="67" t="s">
        <v>451</v>
      </c>
      <c r="M43" s="66" t="n">
        <f aca="false">IF(OR($A43="",$H43&lt;&gt;""),"",Targets!$C$8-$I43)</f>
        <v>17</v>
      </c>
      <c r="N43" s="66" t="str">
        <f aca="false">IF($A43="","",IF(AND($F43="Project",$E43="Active",$M43&lt;&gt;"",$M43&gt;Targets!$C$12),"Yes","No"))</f>
        <v>No</v>
      </c>
      <c r="O43" s="66" t="str">
        <f aca="false">IF($A43="","",IF(AND($G43&gt;=Targets!$C$7,$G43&lt;=Targets!$C$8),"Yes","No"))</f>
        <v>No</v>
      </c>
      <c r="P43" s="66" t="str">
        <f aca="false">IF($A43="","",IF(AND($H43&lt;&gt;"",$H43&gt;=Targets!$C$7,$H43&lt;=Targets!$C$8),"Yes","No"))</f>
        <v>No</v>
      </c>
      <c r="Q43" s="66" t="str">
        <f aca="false">IF($A43="","",IF(AND($F43="Project",$E43&lt;&gt;"Closed",$E43&lt;&gt;"Dormant"),"Yes","No"))</f>
        <v>No</v>
      </c>
      <c r="R43" s="66" t="str">
        <f aca="false">IF($A43="","",IF(AND($L43="In-house",OR($E43="Intake",$E43="Active",$E43="Waiting")),"Yes","No"))</f>
        <v>Yes</v>
      </c>
      <c r="S43" s="66" t="str">
        <f aca="false">IF($A43="","",$C43&amp;" | "&amp;$D43)</f>
        <v>Contracts | Drafting, review, or negotiation</v>
      </c>
      <c r="T43" s="66" t="str">
        <f aca="false">IF($A43="","",IF(AND($L43="Outside provider",OR($E43="Intake",$E43="Active",$E43="Waiting")),"Yes","No"))</f>
        <v>No</v>
      </c>
    </row>
    <row r="44" customFormat="false" ht="15" hidden="false" customHeight="true" outlineLevel="0" collapsed="false">
      <c r="A44" s="63" t="s">
        <v>551</v>
      </c>
      <c r="B44" s="63" t="s">
        <v>552</v>
      </c>
      <c r="C44" s="63" t="s">
        <v>465</v>
      </c>
      <c r="D44" s="63" t="s">
        <v>466</v>
      </c>
      <c r="E44" s="63" t="str">
        <f aca="false">IF($A44="","",IFERROR(INDEX('Status map'!$D$6:$D$64,MATCH($C44&amp;" | "&amp;$D44,'Status map'!$I$6:$I$64,0)),"Unmapped"))</f>
        <v>Closed</v>
      </c>
      <c r="F44" s="63" t="s">
        <v>448</v>
      </c>
      <c r="G44" s="69" t="n">
        <v>46002</v>
      </c>
      <c r="H44" s="69" t="n">
        <v>46023</v>
      </c>
      <c r="I44" s="69" t="n">
        <v>46023</v>
      </c>
      <c r="J44" s="63" t="s">
        <v>474</v>
      </c>
      <c r="K44" s="63" t="s">
        <v>461</v>
      </c>
      <c r="L44" s="63" t="s">
        <v>451</v>
      </c>
      <c r="M44" s="66" t="str">
        <f aca="false">IF(OR($A44="",$H44&lt;&gt;""),"",Targets!$C$8-$I44)</f>
        <v/>
      </c>
      <c r="N44" s="66" t="str">
        <f aca="false">IF($A44="","",IF(AND($F44="Project",$E44="Active",$M44&lt;&gt;"",$M44&gt;Targets!$C$12),"Yes","No"))</f>
        <v>No</v>
      </c>
      <c r="O44" s="66" t="str">
        <f aca="false">IF($A44="","",IF(AND($G44&gt;=Targets!$C$7,$G44&lt;=Targets!$C$8),"Yes","No"))</f>
        <v>No</v>
      </c>
      <c r="P44" s="66" t="str">
        <f aca="false">IF($A44="","",IF(AND($H44&lt;&gt;"",$H44&gt;=Targets!$C$7,$H44&lt;=Targets!$C$8),"Yes","No"))</f>
        <v>No</v>
      </c>
      <c r="Q44" s="66" t="str">
        <f aca="false">IF($A44="","",IF(AND($F44="Project",$E44&lt;&gt;"Closed",$E44&lt;&gt;"Dormant"),"Yes","No"))</f>
        <v>No</v>
      </c>
      <c r="R44" s="66" t="str">
        <f aca="false">IF($A44="","",IF(AND($L44="In-house",OR($E44="Intake",$E44="Active",$E44="Waiting")),"Yes","No"))</f>
        <v>No</v>
      </c>
      <c r="S44" s="66" t="str">
        <f aca="false">IF($A44="","",$C44&amp;" | "&amp;$D44)</f>
        <v>Immigration and visas | Denied or withdrawn</v>
      </c>
      <c r="T44" s="66" t="str">
        <f aca="false">IF($A44="","",IF(AND($L44="Outside provider",OR($E44="Intake",$E44="Active",$E44="Waiting")),"Yes","No"))</f>
        <v>No</v>
      </c>
    </row>
    <row r="45" customFormat="false" ht="15" hidden="false" customHeight="true" outlineLevel="0" collapsed="false">
      <c r="A45" s="67" t="s">
        <v>377</v>
      </c>
      <c r="B45" s="67" t="s">
        <v>553</v>
      </c>
      <c r="C45" s="67" t="s">
        <v>465</v>
      </c>
      <c r="D45" s="67" t="s">
        <v>469</v>
      </c>
      <c r="E45" s="67" t="str">
        <f aca="false">IF($A45="","",IFERROR(INDEX('Status map'!$D$6:$D$64,MATCH($C45&amp;" | "&amp;$D45,'Status map'!$I$6:$I$64,0)),"Unmapped"))</f>
        <v>Active</v>
      </c>
      <c r="F45" s="67" t="s">
        <v>448</v>
      </c>
      <c r="G45" s="70" t="n">
        <v>46256</v>
      </c>
      <c r="H45" s="70"/>
      <c r="I45" s="70" t="n">
        <v>46242</v>
      </c>
      <c r="J45" s="67" t="s">
        <v>470</v>
      </c>
      <c r="K45" s="67" t="s">
        <v>474</v>
      </c>
      <c r="L45" s="67" t="s">
        <v>451</v>
      </c>
      <c r="M45" s="66" t="n">
        <f aca="false">IF(OR($A45="",$H45&lt;&gt;""),"",Targets!$C$8-$I45)</f>
        <v>23</v>
      </c>
      <c r="N45" s="66" t="str">
        <f aca="false">IF($A45="","",IF(AND($F45="Project",$E45="Active",$M45&lt;&gt;"",$M45&gt;Targets!$C$12),"Yes","No"))</f>
        <v>No</v>
      </c>
      <c r="O45" s="66" t="str">
        <f aca="false">IF($A45="","",IF(AND($G45&gt;=Targets!$C$7,$G45&lt;=Targets!$C$8),"Yes","No"))</f>
        <v>Yes</v>
      </c>
      <c r="P45" s="66" t="str">
        <f aca="false">IF($A45="","",IF(AND($H45&lt;&gt;"",$H45&gt;=Targets!$C$7,$H45&lt;=Targets!$C$8),"Yes","No"))</f>
        <v>No</v>
      </c>
      <c r="Q45" s="66" t="str">
        <f aca="false">IF($A45="","",IF(AND($F45="Project",$E45&lt;&gt;"Closed",$E45&lt;&gt;"Dormant"),"Yes","No"))</f>
        <v>Yes</v>
      </c>
      <c r="R45" s="66" t="str">
        <f aca="false">IF($A45="","",IF(AND($L45="In-house",OR($E45="Intake",$E45="Active",$E45="Waiting")),"Yes","No"))</f>
        <v>Yes</v>
      </c>
      <c r="S45" s="66" t="str">
        <f aca="false">IF($A45="","",$C45&amp;" | "&amp;$D45)</f>
        <v>Immigration and visas | Petition or an evidence response being prepared</v>
      </c>
      <c r="T45" s="66" t="str">
        <f aca="false">IF($A45="","",IF(AND($L45="Outside provider",OR($E45="Intake",$E45="Active",$E45="Waiting")),"Yes","No"))</f>
        <v>No</v>
      </c>
    </row>
    <row r="46" customFormat="false" ht="15" hidden="false" customHeight="true" outlineLevel="0" collapsed="false">
      <c r="A46" s="63" t="s">
        <v>294</v>
      </c>
      <c r="B46" s="63" t="s">
        <v>554</v>
      </c>
      <c r="C46" s="63" t="s">
        <v>501</v>
      </c>
      <c r="D46" s="63" t="s">
        <v>502</v>
      </c>
      <c r="E46" s="63" t="str">
        <f aca="false">IF($A46="","",IFERROR(INDEX('Status map'!$D$6:$D$64,MATCH($C46&amp;" | "&amp;$D46,'Status map'!$I$6:$I$64,0)),"Unmapped"))</f>
        <v>Closed</v>
      </c>
      <c r="F46" s="63" t="s">
        <v>448</v>
      </c>
      <c r="G46" s="69" t="n">
        <v>46246</v>
      </c>
      <c r="H46" s="69" t="n">
        <v>46250</v>
      </c>
      <c r="I46" s="69" t="n">
        <v>46250</v>
      </c>
      <c r="J46" s="63" t="s">
        <v>449</v>
      </c>
      <c r="K46" s="63" t="s">
        <v>461</v>
      </c>
      <c r="L46" s="63" t="s">
        <v>451</v>
      </c>
      <c r="M46" s="66" t="str">
        <f aca="false">IF(OR($A46="",$H46&lt;&gt;""),"",Targets!$C$8-$I46)</f>
        <v/>
      </c>
      <c r="N46" s="66" t="str">
        <f aca="false">IF($A46="","",IF(AND($F46="Project",$E46="Active",$M46&lt;&gt;"",$M46&gt;Targets!$C$12),"Yes","No"))</f>
        <v>No</v>
      </c>
      <c r="O46" s="66" t="str">
        <f aca="false">IF($A46="","",IF(AND($G46&gt;=Targets!$C$7,$G46&lt;=Targets!$C$8),"Yes","No"))</f>
        <v>Yes</v>
      </c>
      <c r="P46" s="66" t="str">
        <f aca="false">IF($A46="","",IF(AND($H46&lt;&gt;"",$H46&gt;=Targets!$C$7,$H46&lt;=Targets!$C$8),"Yes","No"))</f>
        <v>Yes</v>
      </c>
      <c r="Q46" s="66" t="str">
        <f aca="false">IF($A46="","",IF(AND($F46="Project",$E46&lt;&gt;"Closed",$E46&lt;&gt;"Dormant"),"Yes","No"))</f>
        <v>No</v>
      </c>
      <c r="R46" s="66" t="str">
        <f aca="false">IF($A46="","",IF(AND($L46="In-house",OR($E46="Intake",$E46="Active",$E46="Waiting")),"Yes","No"))</f>
        <v>No</v>
      </c>
      <c r="S46" s="66" t="str">
        <f aca="false">IF($A46="","",$C46&amp;" | "&amp;$D46)</f>
        <v>M&amp;A and corporate deals | Deal closed</v>
      </c>
      <c r="T46" s="66" t="str">
        <f aca="false">IF($A46="","",IF(AND($L46="Outside provider",OR($E46="Intake",$E46="Active",$E46="Waiting")),"Yes","No"))</f>
        <v>No</v>
      </c>
    </row>
    <row r="47" customFormat="false" ht="15" hidden="false" customHeight="true" outlineLevel="0" collapsed="false">
      <c r="A47" s="67" t="s">
        <v>555</v>
      </c>
      <c r="B47" s="67" t="s">
        <v>556</v>
      </c>
      <c r="C47" s="67" t="s">
        <v>465</v>
      </c>
      <c r="D47" s="67" t="s">
        <v>466</v>
      </c>
      <c r="E47" s="67" t="str">
        <f aca="false">IF($A47="","",IFERROR(INDEX('Status map'!$D$6:$D$64,MATCH($C47&amp;" | "&amp;$D47,'Status map'!$I$6:$I$64,0)),"Unmapped"))</f>
        <v>Closed</v>
      </c>
      <c r="F47" s="67" t="s">
        <v>448</v>
      </c>
      <c r="G47" s="70" t="n">
        <v>45963</v>
      </c>
      <c r="H47" s="70" t="n">
        <v>46250</v>
      </c>
      <c r="I47" s="70" t="n">
        <v>46250</v>
      </c>
      <c r="J47" s="67" t="s">
        <v>449</v>
      </c>
      <c r="K47" s="67" t="s">
        <v>461</v>
      </c>
      <c r="L47" s="67" t="s">
        <v>451</v>
      </c>
      <c r="M47" s="66" t="str">
        <f aca="false">IF(OR($A47="",$H47&lt;&gt;""),"",Targets!$C$8-$I47)</f>
        <v/>
      </c>
      <c r="N47" s="66" t="str">
        <f aca="false">IF($A47="","",IF(AND($F47="Project",$E47="Active",$M47&lt;&gt;"",$M47&gt;Targets!$C$12),"Yes","No"))</f>
        <v>No</v>
      </c>
      <c r="O47" s="66" t="str">
        <f aca="false">IF($A47="","",IF(AND($G47&gt;=Targets!$C$7,$G47&lt;=Targets!$C$8),"Yes","No"))</f>
        <v>No</v>
      </c>
      <c r="P47" s="66" t="str">
        <f aca="false">IF($A47="","",IF(AND($H47&lt;&gt;"",$H47&gt;=Targets!$C$7,$H47&lt;=Targets!$C$8),"Yes","No"))</f>
        <v>Yes</v>
      </c>
      <c r="Q47" s="66" t="str">
        <f aca="false">IF($A47="","",IF(AND($F47="Project",$E47&lt;&gt;"Closed",$E47&lt;&gt;"Dormant"),"Yes","No"))</f>
        <v>No</v>
      </c>
      <c r="R47" s="66" t="str">
        <f aca="false">IF($A47="","",IF(AND($L47="In-house",OR($E47="Intake",$E47="Active",$E47="Waiting")),"Yes","No"))</f>
        <v>No</v>
      </c>
      <c r="S47" s="66" t="str">
        <f aca="false">IF($A47="","",$C47&amp;" | "&amp;$D47)</f>
        <v>Immigration and visas | Denied or withdrawn</v>
      </c>
      <c r="T47" s="66" t="str">
        <f aca="false">IF($A47="","",IF(AND($L47="Outside provider",OR($E47="Intake",$E47="Active",$E47="Waiting")),"Yes","No"))</f>
        <v>No</v>
      </c>
    </row>
    <row r="48" customFormat="false" ht="15" hidden="false" customHeight="true" outlineLevel="0" collapsed="false">
      <c r="A48" s="63" t="s">
        <v>557</v>
      </c>
      <c r="B48" s="63" t="s">
        <v>558</v>
      </c>
      <c r="C48" s="63" t="s">
        <v>446</v>
      </c>
      <c r="D48" s="63" t="s">
        <v>473</v>
      </c>
      <c r="E48" s="63" t="str">
        <f aca="false">IF($A48="","",IFERROR(INDEX('Status map'!$D$6:$D$64,MATCH($C48&amp;" | "&amp;$D48,'Status map'!$I$6:$I$64,0)),"Unmapped"))</f>
        <v>Closed</v>
      </c>
      <c r="F48" s="63" t="s">
        <v>448</v>
      </c>
      <c r="G48" s="69" t="n">
        <v>45986</v>
      </c>
      <c r="H48" s="69" t="n">
        <v>46031</v>
      </c>
      <c r="I48" s="69" t="n">
        <v>46031</v>
      </c>
      <c r="J48" s="63" t="s">
        <v>474</v>
      </c>
      <c r="K48" s="63" t="s">
        <v>495</v>
      </c>
      <c r="L48" s="63" t="s">
        <v>496</v>
      </c>
      <c r="M48" s="66" t="str">
        <f aca="false">IF(OR($A48="",$H48&lt;&gt;""),"",Targets!$C$8-$I48)</f>
        <v/>
      </c>
      <c r="N48" s="66" t="str">
        <f aca="false">IF($A48="","",IF(AND($F48="Project",$E48="Active",$M48&lt;&gt;"",$M48&gt;Targets!$C$12),"Yes","No"))</f>
        <v>No</v>
      </c>
      <c r="O48" s="66" t="str">
        <f aca="false">IF($A48="","",IF(AND($G48&gt;=Targets!$C$7,$G48&lt;=Targets!$C$8),"Yes","No"))</f>
        <v>No</v>
      </c>
      <c r="P48" s="66" t="str">
        <f aca="false">IF($A48="","",IF(AND($H48&lt;&gt;"",$H48&gt;=Targets!$C$7,$H48&lt;=Targets!$C$8),"Yes","No"))</f>
        <v>No</v>
      </c>
      <c r="Q48" s="66" t="str">
        <f aca="false">IF($A48="","",IF(AND($F48="Project",$E48&lt;&gt;"Closed",$E48&lt;&gt;"Dormant"),"Yes","No"))</f>
        <v>No</v>
      </c>
      <c r="R48" s="66" t="str">
        <f aca="false">IF($A48="","",IF(AND($L48="In-house",OR($E48="Intake",$E48="Active",$E48="Waiting")),"Yes","No"))</f>
        <v>No</v>
      </c>
      <c r="S48" s="66" t="str">
        <f aca="false">IF($A48="","",$C48&amp;" | "&amp;$D48)</f>
        <v>Employment | Resolved or closed</v>
      </c>
      <c r="T48" s="66" t="str">
        <f aca="false">IF($A48="","",IF(AND($L48="Outside provider",OR($E48="Intake",$E48="Active",$E48="Waiting")),"Yes","No"))</f>
        <v>No</v>
      </c>
    </row>
    <row r="49" customFormat="false" ht="15" hidden="false" customHeight="true" outlineLevel="0" collapsed="false">
      <c r="A49" s="67" t="s">
        <v>559</v>
      </c>
      <c r="B49" s="67" t="s">
        <v>560</v>
      </c>
      <c r="C49" s="67" t="s">
        <v>454</v>
      </c>
      <c r="D49" s="67" t="s">
        <v>455</v>
      </c>
      <c r="E49" s="67" t="str">
        <f aca="false">IF($A49="","",IFERROR(INDEX('Status map'!$D$6:$D$64,MATCH($C49&amp;" | "&amp;$D49,'Status map'!$I$6:$I$64,0)),"Unmapped"))</f>
        <v>Closed</v>
      </c>
      <c r="F49" s="67" t="s">
        <v>448</v>
      </c>
      <c r="G49" s="70" t="n">
        <v>46063</v>
      </c>
      <c r="H49" s="70" t="n">
        <v>46122</v>
      </c>
      <c r="I49" s="70" t="n">
        <v>46122</v>
      </c>
      <c r="J49" s="67" t="s">
        <v>474</v>
      </c>
      <c r="K49" s="67" t="s">
        <v>470</v>
      </c>
      <c r="L49" s="67" t="s">
        <v>451</v>
      </c>
      <c r="M49" s="66" t="str">
        <f aca="false">IF(OR($A49="",$H49&lt;&gt;""),"",Targets!$C$8-$I49)</f>
        <v/>
      </c>
      <c r="N49" s="66" t="str">
        <f aca="false">IF($A49="","",IF(AND($F49="Project",$E49="Active",$M49&lt;&gt;"",$M49&gt;Targets!$C$12),"Yes","No"))</f>
        <v>No</v>
      </c>
      <c r="O49" s="66" t="str">
        <f aca="false">IF($A49="","",IF(AND($G49&gt;=Targets!$C$7,$G49&lt;=Targets!$C$8),"Yes","No"))</f>
        <v>No</v>
      </c>
      <c r="P49" s="66" t="str">
        <f aca="false">IF($A49="","",IF(AND($H49&lt;&gt;"",$H49&gt;=Targets!$C$7,$H49&lt;=Targets!$C$8),"Yes","No"))</f>
        <v>No</v>
      </c>
      <c r="Q49" s="66" t="str">
        <f aca="false">IF($A49="","",IF(AND($F49="Project",$E49&lt;&gt;"Closed",$E49&lt;&gt;"Dormant"),"Yes","No"))</f>
        <v>No</v>
      </c>
      <c r="R49" s="66" t="str">
        <f aca="false">IF($A49="","",IF(AND($L49="In-house",OR($E49="Intake",$E49="Active",$E49="Waiting")),"Yes","No"))</f>
        <v>No</v>
      </c>
      <c r="S49" s="66" t="str">
        <f aca="false">IF($A49="","",$C49&amp;" | "&amp;$D49)</f>
        <v>Litigation | Settled, dismissed, or judgment entered</v>
      </c>
      <c r="T49" s="66" t="str">
        <f aca="false">IF($A49="","",IF(AND($L49="Outside provider",OR($E49="Intake",$E49="Active",$E49="Waiting")),"Yes","No"))</f>
        <v>No</v>
      </c>
    </row>
    <row r="50" customFormat="false" ht="15" hidden="false" customHeight="true" outlineLevel="0" collapsed="false">
      <c r="A50" s="63" t="s">
        <v>561</v>
      </c>
      <c r="B50" s="63" t="s">
        <v>562</v>
      </c>
      <c r="C50" s="63" t="s">
        <v>446</v>
      </c>
      <c r="D50" s="63" t="s">
        <v>563</v>
      </c>
      <c r="E50" s="63" t="str">
        <f aca="false">IF($A50="","",IFERROR(INDEX('Status map'!$D$6:$D$64,MATCH($C50&amp;" | "&amp;$D50,'Status map'!$I$6:$I$64,0)),"Unmapped"))</f>
        <v>Waiting</v>
      </c>
      <c r="F50" s="63" t="s">
        <v>482</v>
      </c>
      <c r="G50" s="69" t="n">
        <v>46138</v>
      </c>
      <c r="H50" s="69"/>
      <c r="I50" s="69" t="n">
        <v>46264</v>
      </c>
      <c r="J50" s="63" t="s">
        <v>462</v>
      </c>
      <c r="K50" s="63" t="s">
        <v>456</v>
      </c>
      <c r="L50" s="63" t="s">
        <v>451</v>
      </c>
      <c r="M50" s="66" t="n">
        <f aca="false">IF(OR($A50="",$H50&lt;&gt;""),"",Targets!$C$8-$I50)</f>
        <v>1</v>
      </c>
      <c r="N50" s="66" t="str">
        <f aca="false">IF($A50="","",IF(AND($F50="Project",$E50="Active",$M50&lt;&gt;"",$M50&gt;Targets!$C$12),"Yes","No"))</f>
        <v>No</v>
      </c>
      <c r="O50" s="66" t="str">
        <f aca="false">IF($A50="","",IF(AND($G50&gt;=Targets!$C$7,$G50&lt;=Targets!$C$8),"Yes","No"))</f>
        <v>No</v>
      </c>
      <c r="P50" s="66" t="str">
        <f aca="false">IF($A50="","",IF(AND($H50&lt;&gt;"",$H50&gt;=Targets!$C$7,$H50&lt;=Targets!$C$8),"Yes","No"))</f>
        <v>No</v>
      </c>
      <c r="Q50" s="66" t="str">
        <f aca="false">IF($A50="","",IF(AND($F50="Project",$E50&lt;&gt;"Closed",$E50&lt;&gt;"Dormant"),"Yes","No"))</f>
        <v>No</v>
      </c>
      <c r="R50" s="66" t="str">
        <f aca="false">IF($A50="","",IF(AND($L50="In-house",OR($E50="Intake",$E50="Active",$E50="Waiting")),"Yes","No"))</f>
        <v>Yes</v>
      </c>
      <c r="S50" s="66" t="str">
        <f aca="false">IF($A50="","",$C50&amp;" | "&amp;$D50)</f>
        <v>Employment | Awaiting the employee, an agency, or outside counsel</v>
      </c>
      <c r="T50" s="66" t="str">
        <f aca="false">IF($A50="","",IF(AND($L50="Outside provider",OR($E50="Intake",$E50="Active",$E50="Waiting")),"Yes","No"))</f>
        <v>No</v>
      </c>
    </row>
    <row r="51" customFormat="false" ht="15" hidden="false" customHeight="true" outlineLevel="0" collapsed="false">
      <c r="A51" s="67" t="s">
        <v>393</v>
      </c>
      <c r="B51" s="67" t="s">
        <v>564</v>
      </c>
      <c r="C51" s="67" t="s">
        <v>465</v>
      </c>
      <c r="D51" s="67" t="s">
        <v>466</v>
      </c>
      <c r="E51" s="67" t="str">
        <f aca="false">IF($A51="","",IFERROR(INDEX('Status map'!$D$6:$D$64,MATCH($C51&amp;" | "&amp;$D51,'Status map'!$I$6:$I$64,0)),"Unmapped"))</f>
        <v>Closed</v>
      </c>
      <c r="F51" s="67" t="s">
        <v>448</v>
      </c>
      <c r="G51" s="70" t="n">
        <v>46259</v>
      </c>
      <c r="H51" s="70" t="n">
        <v>46263</v>
      </c>
      <c r="I51" s="70" t="n">
        <v>46263</v>
      </c>
      <c r="J51" s="67" t="s">
        <v>461</v>
      </c>
      <c r="K51" s="67" t="s">
        <v>449</v>
      </c>
      <c r="L51" s="67" t="s">
        <v>451</v>
      </c>
      <c r="M51" s="66" t="str">
        <f aca="false">IF(OR($A51="",$H51&lt;&gt;""),"",Targets!$C$8-$I51)</f>
        <v/>
      </c>
      <c r="N51" s="66" t="str">
        <f aca="false">IF($A51="","",IF(AND($F51="Project",$E51="Active",$M51&lt;&gt;"",$M51&gt;Targets!$C$12),"Yes","No"))</f>
        <v>No</v>
      </c>
      <c r="O51" s="66" t="str">
        <f aca="false">IF($A51="","",IF(AND($G51&gt;=Targets!$C$7,$G51&lt;=Targets!$C$8),"Yes","No"))</f>
        <v>Yes</v>
      </c>
      <c r="P51" s="66" t="str">
        <f aca="false">IF($A51="","",IF(AND($H51&lt;&gt;"",$H51&gt;=Targets!$C$7,$H51&lt;=Targets!$C$8),"Yes","No"))</f>
        <v>Yes</v>
      </c>
      <c r="Q51" s="66" t="str">
        <f aca="false">IF($A51="","",IF(AND($F51="Project",$E51&lt;&gt;"Closed",$E51&lt;&gt;"Dormant"),"Yes","No"))</f>
        <v>No</v>
      </c>
      <c r="R51" s="66" t="str">
        <f aca="false">IF($A51="","",IF(AND($L51="In-house",OR($E51="Intake",$E51="Active",$E51="Waiting")),"Yes","No"))</f>
        <v>No</v>
      </c>
      <c r="S51" s="66" t="str">
        <f aca="false">IF($A51="","",$C51&amp;" | "&amp;$D51)</f>
        <v>Immigration and visas | Denied or withdrawn</v>
      </c>
      <c r="T51" s="66" t="str">
        <f aca="false">IF($A51="","",IF(AND($L51="Outside provider",OR($E51="Intake",$E51="Active",$E51="Waiting")),"Yes","No"))</f>
        <v>No</v>
      </c>
    </row>
    <row r="52" customFormat="false" ht="15" hidden="false" customHeight="true" outlineLevel="0" collapsed="false">
      <c r="A52" s="63" t="s">
        <v>565</v>
      </c>
      <c r="B52" s="63" t="s">
        <v>566</v>
      </c>
      <c r="C52" s="63" t="s">
        <v>446</v>
      </c>
      <c r="D52" s="63" t="s">
        <v>473</v>
      </c>
      <c r="E52" s="63" t="str">
        <f aca="false">IF($A52="","",IFERROR(INDEX('Status map'!$D$6:$D$64,MATCH($C52&amp;" | "&amp;$D52,'Status map'!$I$6:$I$64,0)),"Unmapped"))</f>
        <v>Closed</v>
      </c>
      <c r="F52" s="63" t="s">
        <v>448</v>
      </c>
      <c r="G52" s="69" t="n">
        <v>46030</v>
      </c>
      <c r="H52" s="69" t="n">
        <v>46252</v>
      </c>
      <c r="I52" s="69" t="n">
        <v>46252</v>
      </c>
      <c r="J52" s="63" t="s">
        <v>474</v>
      </c>
      <c r="K52" s="63" t="s">
        <v>492</v>
      </c>
      <c r="L52" s="63" t="s">
        <v>451</v>
      </c>
      <c r="M52" s="66" t="str">
        <f aca="false">IF(OR($A52="",$H52&lt;&gt;""),"",Targets!$C$8-$I52)</f>
        <v/>
      </c>
      <c r="N52" s="66" t="str">
        <f aca="false">IF($A52="","",IF(AND($F52="Project",$E52="Active",$M52&lt;&gt;"",$M52&gt;Targets!$C$12),"Yes","No"))</f>
        <v>No</v>
      </c>
      <c r="O52" s="66" t="str">
        <f aca="false">IF($A52="","",IF(AND($G52&gt;=Targets!$C$7,$G52&lt;=Targets!$C$8),"Yes","No"))</f>
        <v>No</v>
      </c>
      <c r="P52" s="66" t="str">
        <f aca="false">IF($A52="","",IF(AND($H52&lt;&gt;"",$H52&gt;=Targets!$C$7,$H52&lt;=Targets!$C$8),"Yes","No"))</f>
        <v>Yes</v>
      </c>
      <c r="Q52" s="66" t="str">
        <f aca="false">IF($A52="","",IF(AND($F52="Project",$E52&lt;&gt;"Closed",$E52&lt;&gt;"Dormant"),"Yes","No"))</f>
        <v>No</v>
      </c>
      <c r="R52" s="66" t="str">
        <f aca="false">IF($A52="","",IF(AND($L52="In-house",OR($E52="Intake",$E52="Active",$E52="Waiting")),"Yes","No"))</f>
        <v>No</v>
      </c>
      <c r="S52" s="66" t="str">
        <f aca="false">IF($A52="","",$C52&amp;" | "&amp;$D52)</f>
        <v>Employment | Resolved or closed</v>
      </c>
      <c r="T52" s="66" t="str">
        <f aca="false">IF($A52="","",IF(AND($L52="Outside provider",OR($E52="Intake",$E52="Active",$E52="Waiting")),"Yes","No"))</f>
        <v>No</v>
      </c>
    </row>
    <row r="53" customFormat="false" ht="15" hidden="false" customHeight="true" outlineLevel="0" collapsed="false">
      <c r="A53" s="67" t="s">
        <v>567</v>
      </c>
      <c r="B53" s="67" t="s">
        <v>568</v>
      </c>
      <c r="C53" s="67" t="s">
        <v>446</v>
      </c>
      <c r="D53" s="67" t="s">
        <v>473</v>
      </c>
      <c r="E53" s="67" t="str">
        <f aca="false">IF($A53="","",IFERROR(INDEX('Status map'!$D$6:$D$64,MATCH($C53&amp;" | "&amp;$D53,'Status map'!$I$6:$I$64,0)),"Unmapped"))</f>
        <v>Closed</v>
      </c>
      <c r="F53" s="67" t="s">
        <v>448</v>
      </c>
      <c r="G53" s="70" t="n">
        <v>46108</v>
      </c>
      <c r="H53" s="70" t="n">
        <v>46250</v>
      </c>
      <c r="I53" s="70" t="n">
        <v>46250</v>
      </c>
      <c r="J53" s="67" t="s">
        <v>470</v>
      </c>
      <c r="K53" s="67" t="s">
        <v>470</v>
      </c>
      <c r="L53" s="67" t="s">
        <v>451</v>
      </c>
      <c r="M53" s="66" t="str">
        <f aca="false">IF(OR($A53="",$H53&lt;&gt;""),"",Targets!$C$8-$I53)</f>
        <v/>
      </c>
      <c r="N53" s="66" t="str">
        <f aca="false">IF($A53="","",IF(AND($F53="Project",$E53="Active",$M53&lt;&gt;"",$M53&gt;Targets!$C$12),"Yes","No"))</f>
        <v>No</v>
      </c>
      <c r="O53" s="66" t="str">
        <f aca="false">IF($A53="","",IF(AND($G53&gt;=Targets!$C$7,$G53&lt;=Targets!$C$8),"Yes","No"))</f>
        <v>No</v>
      </c>
      <c r="P53" s="66" t="str">
        <f aca="false">IF($A53="","",IF(AND($H53&lt;&gt;"",$H53&gt;=Targets!$C$7,$H53&lt;=Targets!$C$8),"Yes","No"))</f>
        <v>Yes</v>
      </c>
      <c r="Q53" s="66" t="str">
        <f aca="false">IF($A53="","",IF(AND($F53="Project",$E53&lt;&gt;"Closed",$E53&lt;&gt;"Dormant"),"Yes","No"))</f>
        <v>No</v>
      </c>
      <c r="R53" s="66" t="str">
        <f aca="false">IF($A53="","",IF(AND($L53="In-house",OR($E53="Intake",$E53="Active",$E53="Waiting")),"Yes","No"))</f>
        <v>No</v>
      </c>
      <c r="S53" s="66" t="str">
        <f aca="false">IF($A53="","",$C53&amp;" | "&amp;$D53)</f>
        <v>Employment | Resolved or closed</v>
      </c>
      <c r="T53" s="66" t="str">
        <f aca="false">IF($A53="","",IF(AND($L53="Outside provider",OR($E53="Intake",$E53="Active",$E53="Waiting")),"Yes","No"))</f>
        <v>No</v>
      </c>
    </row>
    <row r="54" customFormat="false" ht="15" hidden="false" customHeight="true" outlineLevel="0" collapsed="false">
      <c r="A54" s="63" t="s">
        <v>569</v>
      </c>
      <c r="B54" s="63" t="s">
        <v>570</v>
      </c>
      <c r="C54" s="63" t="s">
        <v>487</v>
      </c>
      <c r="D54" s="63" t="s">
        <v>548</v>
      </c>
      <c r="E54" s="63" t="str">
        <f aca="false">IF($A54="","",IFERROR(INDEX('Status map'!$D$6:$D$64,MATCH($C54&amp;" | "&amp;$D54,'Status map'!$I$6:$I$64,0)),"Unmapped"))</f>
        <v>Dormant</v>
      </c>
      <c r="F54" s="63" t="s">
        <v>510</v>
      </c>
      <c r="G54" s="69" t="n">
        <v>44225</v>
      </c>
      <c r="H54" s="69"/>
      <c r="I54" s="69" t="n">
        <v>45985</v>
      </c>
      <c r="J54" s="63" t="s">
        <v>462</v>
      </c>
      <c r="K54" s="63" t="s">
        <v>461</v>
      </c>
      <c r="L54" s="63" t="s">
        <v>451</v>
      </c>
      <c r="M54" s="66" t="n">
        <f aca="false">IF(OR($A54="",$H54&lt;&gt;""),"",Targets!$C$8-$I54)</f>
        <v>280</v>
      </c>
      <c r="N54" s="66" t="str">
        <f aca="false">IF($A54="","",IF(AND($F54="Project",$E54="Active",$M54&lt;&gt;"",$M54&gt;Targets!$C$12),"Yes","No"))</f>
        <v>No</v>
      </c>
      <c r="O54" s="66" t="str">
        <f aca="false">IF($A54="","",IF(AND($G54&gt;=Targets!$C$7,$G54&lt;=Targets!$C$8),"Yes","No"))</f>
        <v>No</v>
      </c>
      <c r="P54" s="66" t="str">
        <f aca="false">IF($A54="","",IF(AND($H54&lt;&gt;"",$H54&gt;=Targets!$C$7,$H54&lt;=Targets!$C$8),"Yes","No"))</f>
        <v>No</v>
      </c>
      <c r="Q54" s="66" t="str">
        <f aca="false">IF($A54="","",IF(AND($F54="Project",$E54&lt;&gt;"Closed",$E54&lt;&gt;"Dormant"),"Yes","No"))</f>
        <v>No</v>
      </c>
      <c r="R54" s="66" t="str">
        <f aca="false">IF($A54="","",IF(AND($L54="In-house",OR($E54="Intake",$E54="Active",$E54="Waiting")),"Yes","No"))</f>
        <v>No</v>
      </c>
      <c r="S54" s="66" t="str">
        <f aca="false">IF($A54="","",$C54&amp;" | "&amp;$D54)</f>
        <v>Corporate and entity management | Entity in good standing</v>
      </c>
      <c r="T54" s="66" t="str">
        <f aca="false">IF($A54="","",IF(AND($L54="Outside provider",OR($E54="Intake",$E54="Active",$E54="Waiting")),"Yes","No"))</f>
        <v>No</v>
      </c>
    </row>
    <row r="55" customFormat="false" ht="15" hidden="false" customHeight="true" outlineLevel="0" collapsed="false">
      <c r="A55" s="67" t="s">
        <v>571</v>
      </c>
      <c r="B55" s="67" t="s">
        <v>572</v>
      </c>
      <c r="C55" s="67" t="s">
        <v>465</v>
      </c>
      <c r="D55" s="67" t="s">
        <v>469</v>
      </c>
      <c r="E55" s="67" t="str">
        <f aca="false">IF($A55="","",IFERROR(INDEX('Status map'!$D$6:$D$64,MATCH($C55&amp;" | "&amp;$D55,'Status map'!$I$6:$I$64,0)),"Unmapped"))</f>
        <v>Active</v>
      </c>
      <c r="F55" s="67" t="s">
        <v>448</v>
      </c>
      <c r="G55" s="70" t="n">
        <v>46055</v>
      </c>
      <c r="H55" s="70"/>
      <c r="I55" s="70" t="n">
        <v>46257</v>
      </c>
      <c r="J55" s="67" t="s">
        <v>474</v>
      </c>
      <c r="K55" s="67" t="s">
        <v>449</v>
      </c>
      <c r="L55" s="67" t="s">
        <v>451</v>
      </c>
      <c r="M55" s="66" t="n">
        <f aca="false">IF(OR($A55="",$H55&lt;&gt;""),"",Targets!$C$8-$I55)</f>
        <v>8</v>
      </c>
      <c r="N55" s="66" t="str">
        <f aca="false">IF($A55="","",IF(AND($F55="Project",$E55="Active",$M55&lt;&gt;"",$M55&gt;Targets!$C$12),"Yes","No"))</f>
        <v>No</v>
      </c>
      <c r="O55" s="66" t="str">
        <f aca="false">IF($A55="","",IF(AND($G55&gt;=Targets!$C$7,$G55&lt;=Targets!$C$8),"Yes","No"))</f>
        <v>No</v>
      </c>
      <c r="P55" s="66" t="str">
        <f aca="false">IF($A55="","",IF(AND($H55&lt;&gt;"",$H55&gt;=Targets!$C$7,$H55&lt;=Targets!$C$8),"Yes","No"))</f>
        <v>No</v>
      </c>
      <c r="Q55" s="66" t="str">
        <f aca="false">IF($A55="","",IF(AND($F55="Project",$E55&lt;&gt;"Closed",$E55&lt;&gt;"Dormant"),"Yes","No"))</f>
        <v>Yes</v>
      </c>
      <c r="R55" s="66" t="str">
        <f aca="false">IF($A55="","",IF(AND($L55="In-house",OR($E55="Intake",$E55="Active",$E55="Waiting")),"Yes","No"))</f>
        <v>Yes</v>
      </c>
      <c r="S55" s="66" t="str">
        <f aca="false">IF($A55="","",$C55&amp;" | "&amp;$D55)</f>
        <v>Immigration and visas | Petition or an evidence response being prepared</v>
      </c>
      <c r="T55" s="66" t="str">
        <f aca="false">IF($A55="","",IF(AND($L55="Outside provider",OR($E55="Intake",$E55="Active",$E55="Waiting")),"Yes","No"))</f>
        <v>No</v>
      </c>
    </row>
    <row r="56" customFormat="false" ht="15" hidden="false" customHeight="true" outlineLevel="0" collapsed="false">
      <c r="A56" s="63" t="s">
        <v>387</v>
      </c>
      <c r="B56" s="63" t="s">
        <v>573</v>
      </c>
      <c r="C56" s="63" t="s">
        <v>459</v>
      </c>
      <c r="D56" s="63" t="s">
        <v>481</v>
      </c>
      <c r="E56" s="63" t="str">
        <f aca="false">IF($A56="","",IFERROR(INDEX('Status map'!$D$6:$D$64,MATCH($C56&amp;" | "&amp;$D56,'Status map'!$I$6:$I$64,0)),"Unmapped"))</f>
        <v>Closed</v>
      </c>
      <c r="F56" s="63" t="s">
        <v>448</v>
      </c>
      <c r="G56" s="69" t="n">
        <v>46242</v>
      </c>
      <c r="H56" s="69" t="n">
        <v>46261</v>
      </c>
      <c r="I56" s="69" t="n">
        <v>46261</v>
      </c>
      <c r="J56" s="63" t="s">
        <v>461</v>
      </c>
      <c r="K56" s="63" t="s">
        <v>470</v>
      </c>
      <c r="L56" s="63" t="s">
        <v>451</v>
      </c>
      <c r="M56" s="66" t="str">
        <f aca="false">IF(OR($A56="",$H56&lt;&gt;""),"",Targets!$C$8-$I56)</f>
        <v/>
      </c>
      <c r="N56" s="66" t="str">
        <f aca="false">IF($A56="","",IF(AND($F56="Project",$E56="Active",$M56&lt;&gt;"",$M56&gt;Targets!$C$12),"Yes","No"))</f>
        <v>No</v>
      </c>
      <c r="O56" s="66" t="str">
        <f aca="false">IF($A56="","",IF(AND($G56&gt;=Targets!$C$7,$G56&lt;=Targets!$C$8),"Yes","No"))</f>
        <v>Yes</v>
      </c>
      <c r="P56" s="66" t="str">
        <f aca="false">IF($A56="","",IF(AND($H56&lt;&gt;"",$H56&gt;=Targets!$C$7,$H56&lt;=Targets!$C$8),"Yes","No"))</f>
        <v>Yes</v>
      </c>
      <c r="Q56" s="66" t="str">
        <f aca="false">IF($A56="","",IF(AND($F56="Project",$E56&lt;&gt;"Closed",$E56&lt;&gt;"Dormant"),"Yes","No"))</f>
        <v>No</v>
      </c>
      <c r="R56" s="66" t="str">
        <f aca="false">IF($A56="","",IF(AND($L56="In-house",OR($E56="Intake",$E56="Active",$E56="Waiting")),"Yes","No"))</f>
        <v>No</v>
      </c>
      <c r="S56" s="66" t="str">
        <f aca="false">IF($A56="","",$C56&amp;" | "&amp;$D56)</f>
        <v>Contracts | Expired or terminated</v>
      </c>
      <c r="T56" s="66" t="str">
        <f aca="false">IF($A56="","",IF(AND($L56="Outside provider",OR($E56="Intake",$E56="Active",$E56="Waiting")),"Yes","No"))</f>
        <v>No</v>
      </c>
    </row>
    <row r="57" customFormat="false" ht="15" hidden="false" customHeight="true" outlineLevel="0" collapsed="false">
      <c r="A57" s="67" t="s">
        <v>284</v>
      </c>
      <c r="B57" s="67" t="s">
        <v>468</v>
      </c>
      <c r="C57" s="67" t="s">
        <v>465</v>
      </c>
      <c r="D57" s="67" t="s">
        <v>469</v>
      </c>
      <c r="E57" s="67" t="str">
        <f aca="false">IF($A57="","",IFERROR(INDEX('Status map'!$D$6:$D$64,MATCH($C57&amp;" | "&amp;$D57,'Status map'!$I$6:$I$64,0)),"Unmapped"))</f>
        <v>Active</v>
      </c>
      <c r="F57" s="67" t="s">
        <v>448</v>
      </c>
      <c r="G57" s="70" t="n">
        <v>46238</v>
      </c>
      <c r="H57" s="70"/>
      <c r="I57" s="70" t="n">
        <v>46260</v>
      </c>
      <c r="J57" s="67" t="s">
        <v>462</v>
      </c>
      <c r="K57" s="67" t="s">
        <v>474</v>
      </c>
      <c r="L57" s="67" t="s">
        <v>451</v>
      </c>
      <c r="M57" s="66" t="n">
        <f aca="false">IF(OR($A57="",$H57&lt;&gt;""),"",Targets!$C$8-$I57)</f>
        <v>5</v>
      </c>
      <c r="N57" s="66" t="str">
        <f aca="false">IF($A57="","",IF(AND($F57="Project",$E57="Active",$M57&lt;&gt;"",$M57&gt;Targets!$C$12),"Yes","No"))</f>
        <v>No</v>
      </c>
      <c r="O57" s="66" t="str">
        <f aca="false">IF($A57="","",IF(AND($G57&gt;=Targets!$C$7,$G57&lt;=Targets!$C$8),"Yes","No"))</f>
        <v>Yes</v>
      </c>
      <c r="P57" s="66" t="str">
        <f aca="false">IF($A57="","",IF(AND($H57&lt;&gt;"",$H57&gt;=Targets!$C$7,$H57&lt;=Targets!$C$8),"Yes","No"))</f>
        <v>No</v>
      </c>
      <c r="Q57" s="66" t="str">
        <f aca="false">IF($A57="","",IF(AND($F57="Project",$E57&lt;&gt;"Closed",$E57&lt;&gt;"Dormant"),"Yes","No"))</f>
        <v>Yes</v>
      </c>
      <c r="R57" s="66" t="str">
        <f aca="false">IF($A57="","",IF(AND($L57="In-house",OR($E57="Intake",$E57="Active",$E57="Waiting")),"Yes","No"))</f>
        <v>Yes</v>
      </c>
      <c r="S57" s="66" t="str">
        <f aca="false">IF($A57="","",$C57&amp;" | "&amp;$D57)</f>
        <v>Immigration and visas | Petition or an evidence response being prepared</v>
      </c>
      <c r="T57" s="66" t="str">
        <f aca="false">IF($A57="","",IF(AND($L57="Outside provider",OR($E57="Intake",$E57="Active",$E57="Waiting")),"Yes","No"))</f>
        <v>No</v>
      </c>
    </row>
    <row r="58" customFormat="false" ht="15" hidden="false" customHeight="true" outlineLevel="0" collapsed="false">
      <c r="A58" s="63" t="s">
        <v>574</v>
      </c>
      <c r="B58" s="63" t="s">
        <v>575</v>
      </c>
      <c r="C58" s="63" t="s">
        <v>501</v>
      </c>
      <c r="D58" s="63" t="s">
        <v>517</v>
      </c>
      <c r="E58" s="63" t="str">
        <f aca="false">IF($A58="","",IFERROR(INDEX('Status map'!$D$6:$D$64,MATCH($C58&amp;" | "&amp;$D58,'Status map'!$I$6:$I$64,0)),"Unmapped"))</f>
        <v>Dormant</v>
      </c>
      <c r="F58" s="63" t="s">
        <v>510</v>
      </c>
      <c r="G58" s="69" t="n">
        <v>45756</v>
      </c>
      <c r="H58" s="69"/>
      <c r="I58" s="69" t="n">
        <v>46044</v>
      </c>
      <c r="J58" s="63" t="s">
        <v>474</v>
      </c>
      <c r="K58" s="63" t="s">
        <v>461</v>
      </c>
      <c r="L58" s="63" t="s">
        <v>451</v>
      </c>
      <c r="M58" s="66" t="n">
        <f aca="false">IF(OR($A58="",$H58&lt;&gt;""),"",Targets!$C$8-$I58)</f>
        <v>221</v>
      </c>
      <c r="N58" s="66" t="str">
        <f aca="false">IF($A58="","",IF(AND($F58="Project",$E58="Active",$M58&lt;&gt;"",$M58&gt;Targets!$C$12),"Yes","No"))</f>
        <v>No</v>
      </c>
      <c r="O58" s="66" t="str">
        <f aca="false">IF($A58="","",IF(AND($G58&gt;=Targets!$C$7,$G58&lt;=Targets!$C$8),"Yes","No"))</f>
        <v>No</v>
      </c>
      <c r="P58" s="66" t="str">
        <f aca="false">IF($A58="","",IF(AND($H58&lt;&gt;"",$H58&gt;=Targets!$C$7,$H58&lt;=Targets!$C$8),"Yes","No"))</f>
        <v>No</v>
      </c>
      <c r="Q58" s="66" t="str">
        <f aca="false">IF($A58="","",IF(AND($F58="Project",$E58&lt;&gt;"Closed",$E58&lt;&gt;"Dormant"),"Yes","No"))</f>
        <v>No</v>
      </c>
      <c r="R58" s="66" t="str">
        <f aca="false">IF($A58="","",IF(AND($L58="In-house",OR($E58="Intake",$E58="Active",$E58="Waiting")),"Yes","No"))</f>
        <v>No</v>
      </c>
      <c r="S58" s="66" t="str">
        <f aca="false">IF($A58="","",$C58&amp;" | "&amp;$D58)</f>
        <v>M&amp;A and corporate deals | Post-closing obligations tracked</v>
      </c>
      <c r="T58" s="66" t="str">
        <f aca="false">IF($A58="","",IF(AND($L58="Outside provider",OR($E58="Intake",$E58="Active",$E58="Waiting")),"Yes","No"))</f>
        <v>No</v>
      </c>
    </row>
    <row r="59" customFormat="false" ht="15" hidden="false" customHeight="true" outlineLevel="0" collapsed="false">
      <c r="A59" s="67" t="s">
        <v>576</v>
      </c>
      <c r="B59" s="67" t="s">
        <v>577</v>
      </c>
      <c r="C59" s="67" t="s">
        <v>501</v>
      </c>
      <c r="D59" s="67" t="s">
        <v>502</v>
      </c>
      <c r="E59" s="67" t="str">
        <f aca="false">IF($A59="","",IFERROR(INDEX('Status map'!$D$6:$D$64,MATCH($C59&amp;" | "&amp;$D59,'Status map'!$I$6:$I$64,0)),"Unmapped"))</f>
        <v>Closed</v>
      </c>
      <c r="F59" s="67" t="s">
        <v>448</v>
      </c>
      <c r="G59" s="70" t="n">
        <v>45903</v>
      </c>
      <c r="H59" s="70" t="n">
        <v>46095</v>
      </c>
      <c r="I59" s="70" t="n">
        <v>46095</v>
      </c>
      <c r="J59" s="67" t="s">
        <v>456</v>
      </c>
      <c r="K59" s="67" t="s">
        <v>456</v>
      </c>
      <c r="L59" s="67" t="s">
        <v>451</v>
      </c>
      <c r="M59" s="66" t="str">
        <f aca="false">IF(OR($A59="",$H59&lt;&gt;""),"",Targets!$C$8-$I59)</f>
        <v/>
      </c>
      <c r="N59" s="66" t="str">
        <f aca="false">IF($A59="","",IF(AND($F59="Project",$E59="Active",$M59&lt;&gt;"",$M59&gt;Targets!$C$12),"Yes","No"))</f>
        <v>No</v>
      </c>
      <c r="O59" s="66" t="str">
        <f aca="false">IF($A59="","",IF(AND($G59&gt;=Targets!$C$7,$G59&lt;=Targets!$C$8),"Yes","No"))</f>
        <v>No</v>
      </c>
      <c r="P59" s="66" t="str">
        <f aca="false">IF($A59="","",IF(AND($H59&lt;&gt;"",$H59&gt;=Targets!$C$7,$H59&lt;=Targets!$C$8),"Yes","No"))</f>
        <v>No</v>
      </c>
      <c r="Q59" s="66" t="str">
        <f aca="false">IF($A59="","",IF(AND($F59="Project",$E59&lt;&gt;"Closed",$E59&lt;&gt;"Dormant"),"Yes","No"))</f>
        <v>No</v>
      </c>
      <c r="R59" s="66" t="str">
        <f aca="false">IF($A59="","",IF(AND($L59="In-house",OR($E59="Intake",$E59="Active",$E59="Waiting")),"Yes","No"))</f>
        <v>No</v>
      </c>
      <c r="S59" s="66" t="str">
        <f aca="false">IF($A59="","",$C59&amp;" | "&amp;$D59)</f>
        <v>M&amp;A and corporate deals | Deal closed</v>
      </c>
      <c r="T59" s="66" t="str">
        <f aca="false">IF($A59="","",IF(AND($L59="Outside provider",OR($E59="Intake",$E59="Active",$E59="Waiting")),"Yes","No"))</f>
        <v>No</v>
      </c>
    </row>
    <row r="60" customFormat="false" ht="15" hidden="false" customHeight="true" outlineLevel="0" collapsed="false">
      <c r="A60" s="63" t="s">
        <v>261</v>
      </c>
      <c r="B60" s="63" t="s">
        <v>578</v>
      </c>
      <c r="C60" s="63" t="s">
        <v>459</v>
      </c>
      <c r="D60" s="63" t="s">
        <v>579</v>
      </c>
      <c r="E60" s="63" t="str">
        <f aca="false">IF($A60="","",IFERROR(INDEX('Status map'!$D$6:$D$64,MATCH($C60&amp;" | "&amp;$D60,'Status map'!$I$6:$I$64,0)),"Unmapped"))</f>
        <v>Intake</v>
      </c>
      <c r="F60" s="63" t="s">
        <v>448</v>
      </c>
      <c r="G60" s="69" t="n">
        <v>46241</v>
      </c>
      <c r="H60" s="69"/>
      <c r="I60" s="69" t="n">
        <v>46237</v>
      </c>
      <c r="J60" s="63" t="s">
        <v>492</v>
      </c>
      <c r="K60" s="63" t="s">
        <v>450</v>
      </c>
      <c r="L60" s="63" t="s">
        <v>451</v>
      </c>
      <c r="M60" s="66" t="n">
        <f aca="false">IF(OR($A60="",$H60&lt;&gt;""),"",Targets!$C$8-$I60)</f>
        <v>28</v>
      </c>
      <c r="N60" s="66" t="str">
        <f aca="false">IF($A60="","",IF(AND($F60="Project",$E60="Active",$M60&lt;&gt;"",$M60&gt;Targets!$C$12),"Yes","No"))</f>
        <v>No</v>
      </c>
      <c r="O60" s="66" t="str">
        <f aca="false">IF($A60="","",IF(AND($G60&gt;=Targets!$C$7,$G60&lt;=Targets!$C$8),"Yes","No"))</f>
        <v>Yes</v>
      </c>
      <c r="P60" s="66" t="str">
        <f aca="false">IF($A60="","",IF(AND($H60&lt;&gt;"",$H60&gt;=Targets!$C$7,$H60&lt;=Targets!$C$8),"Yes","No"))</f>
        <v>No</v>
      </c>
      <c r="Q60" s="66" t="str">
        <f aca="false">IF($A60="","",IF(AND($F60="Project",$E60&lt;&gt;"Closed",$E60&lt;&gt;"Dormant"),"Yes","No"))</f>
        <v>Yes</v>
      </c>
      <c r="R60" s="66" t="str">
        <f aca="false">IF($A60="","",IF(AND($L60="In-house",OR($E60="Intake",$E60="Active",$E60="Waiting")),"Yes","No"))</f>
        <v>Yes</v>
      </c>
      <c r="S60" s="66" t="str">
        <f aca="false">IF($A60="","",$C60&amp;" | "&amp;$D60)</f>
        <v>Contracts | Request received, not started</v>
      </c>
      <c r="T60" s="66" t="str">
        <f aca="false">IF($A60="","",IF(AND($L60="Outside provider",OR($E60="Intake",$E60="Active",$E60="Waiting")),"Yes","No"))</f>
        <v>No</v>
      </c>
    </row>
    <row r="61" customFormat="false" ht="15" hidden="false" customHeight="true" outlineLevel="0" collapsed="false">
      <c r="A61" s="67" t="s">
        <v>580</v>
      </c>
      <c r="B61" s="67" t="s">
        <v>581</v>
      </c>
      <c r="C61" s="67" t="s">
        <v>446</v>
      </c>
      <c r="D61" s="67" t="s">
        <v>473</v>
      </c>
      <c r="E61" s="67" t="str">
        <f aca="false">IF($A61="","",IFERROR(INDEX('Status map'!$D$6:$D$64,MATCH($C61&amp;" | "&amp;$D61,'Status map'!$I$6:$I$64,0)),"Unmapped"))</f>
        <v>Closed</v>
      </c>
      <c r="F61" s="67" t="s">
        <v>448</v>
      </c>
      <c r="G61" s="70" t="n">
        <v>46008</v>
      </c>
      <c r="H61" s="70" t="n">
        <v>46078</v>
      </c>
      <c r="I61" s="70" t="n">
        <v>46078</v>
      </c>
      <c r="J61" s="67" t="s">
        <v>474</v>
      </c>
      <c r="K61" s="67" t="s">
        <v>492</v>
      </c>
      <c r="L61" s="67" t="s">
        <v>451</v>
      </c>
      <c r="M61" s="66" t="str">
        <f aca="false">IF(OR($A61="",$H61&lt;&gt;""),"",Targets!$C$8-$I61)</f>
        <v/>
      </c>
      <c r="N61" s="66" t="str">
        <f aca="false">IF($A61="","",IF(AND($F61="Project",$E61="Active",$M61&lt;&gt;"",$M61&gt;Targets!$C$12),"Yes","No"))</f>
        <v>No</v>
      </c>
      <c r="O61" s="66" t="str">
        <f aca="false">IF($A61="","",IF(AND($G61&gt;=Targets!$C$7,$G61&lt;=Targets!$C$8),"Yes","No"))</f>
        <v>No</v>
      </c>
      <c r="P61" s="66" t="str">
        <f aca="false">IF($A61="","",IF(AND($H61&lt;&gt;"",$H61&gt;=Targets!$C$7,$H61&lt;=Targets!$C$8),"Yes","No"))</f>
        <v>No</v>
      </c>
      <c r="Q61" s="66" t="str">
        <f aca="false">IF($A61="","",IF(AND($F61="Project",$E61&lt;&gt;"Closed",$E61&lt;&gt;"Dormant"),"Yes","No"))</f>
        <v>No</v>
      </c>
      <c r="R61" s="66" t="str">
        <f aca="false">IF($A61="","",IF(AND($L61="In-house",OR($E61="Intake",$E61="Active",$E61="Waiting")),"Yes","No"))</f>
        <v>No</v>
      </c>
      <c r="S61" s="66" t="str">
        <f aca="false">IF($A61="","",$C61&amp;" | "&amp;$D61)</f>
        <v>Employment | Resolved or closed</v>
      </c>
      <c r="T61" s="66" t="str">
        <f aca="false">IF($A61="","",IF(AND($L61="Outside provider",OR($E61="Intake",$E61="Active",$E61="Waiting")),"Yes","No"))</f>
        <v>No</v>
      </c>
    </row>
    <row r="62" customFormat="false" ht="15" hidden="false" customHeight="true" outlineLevel="0" collapsed="false">
      <c r="A62" s="63" t="s">
        <v>582</v>
      </c>
      <c r="B62" s="63" t="s">
        <v>583</v>
      </c>
      <c r="C62" s="63" t="s">
        <v>501</v>
      </c>
      <c r="D62" s="63" t="s">
        <v>502</v>
      </c>
      <c r="E62" s="63" t="str">
        <f aca="false">IF($A62="","",IFERROR(INDEX('Status map'!$D$6:$D$64,MATCH($C62&amp;" | "&amp;$D62,'Status map'!$I$6:$I$64,0)),"Unmapped"))</f>
        <v>Closed</v>
      </c>
      <c r="F62" s="63" t="s">
        <v>448</v>
      </c>
      <c r="G62" s="69" t="n">
        <v>45968</v>
      </c>
      <c r="H62" s="69" t="n">
        <v>46067</v>
      </c>
      <c r="I62" s="69" t="n">
        <v>46067</v>
      </c>
      <c r="J62" s="63" t="s">
        <v>461</v>
      </c>
      <c r="K62" s="63" t="s">
        <v>461</v>
      </c>
      <c r="L62" s="63" t="s">
        <v>451</v>
      </c>
      <c r="M62" s="66" t="str">
        <f aca="false">IF(OR($A62="",$H62&lt;&gt;""),"",Targets!$C$8-$I62)</f>
        <v/>
      </c>
      <c r="N62" s="66" t="str">
        <f aca="false">IF($A62="","",IF(AND($F62="Project",$E62="Active",$M62&lt;&gt;"",$M62&gt;Targets!$C$12),"Yes","No"))</f>
        <v>No</v>
      </c>
      <c r="O62" s="66" t="str">
        <f aca="false">IF($A62="","",IF(AND($G62&gt;=Targets!$C$7,$G62&lt;=Targets!$C$8),"Yes","No"))</f>
        <v>No</v>
      </c>
      <c r="P62" s="66" t="str">
        <f aca="false">IF($A62="","",IF(AND($H62&lt;&gt;"",$H62&gt;=Targets!$C$7,$H62&lt;=Targets!$C$8),"Yes","No"))</f>
        <v>No</v>
      </c>
      <c r="Q62" s="66" t="str">
        <f aca="false">IF($A62="","",IF(AND($F62="Project",$E62&lt;&gt;"Closed",$E62&lt;&gt;"Dormant"),"Yes","No"))</f>
        <v>No</v>
      </c>
      <c r="R62" s="66" t="str">
        <f aca="false">IF($A62="","",IF(AND($L62="In-house",OR($E62="Intake",$E62="Active",$E62="Waiting")),"Yes","No"))</f>
        <v>No</v>
      </c>
      <c r="S62" s="66" t="str">
        <f aca="false">IF($A62="","",$C62&amp;" | "&amp;$D62)</f>
        <v>M&amp;A and corporate deals | Deal closed</v>
      </c>
      <c r="T62" s="66" t="str">
        <f aca="false">IF($A62="","",IF(AND($L62="Outside provider",OR($E62="Intake",$E62="Active",$E62="Waiting")),"Yes","No"))</f>
        <v>No</v>
      </c>
    </row>
    <row r="63" customFormat="false" ht="15" hidden="false" customHeight="true" outlineLevel="0" collapsed="false">
      <c r="A63" s="67" t="s">
        <v>584</v>
      </c>
      <c r="B63" s="67" t="s">
        <v>585</v>
      </c>
      <c r="C63" s="67" t="s">
        <v>465</v>
      </c>
      <c r="D63" s="67" t="s">
        <v>586</v>
      </c>
      <c r="E63" s="67" t="str">
        <f aca="false">IF($A63="","",IFERROR(INDEX('Status map'!$D$6:$D$64,MATCH($C63&amp;" | "&amp;$D63,'Status map'!$I$6:$I$64,0)),"Unmapped"))</f>
        <v>Waiting</v>
      </c>
      <c r="F63" s="67" t="s">
        <v>448</v>
      </c>
      <c r="G63" s="70" t="n">
        <v>46108</v>
      </c>
      <c r="H63" s="70"/>
      <c r="I63" s="70" t="n">
        <v>46258</v>
      </c>
      <c r="J63" s="67" t="s">
        <v>461</v>
      </c>
      <c r="K63" s="67" t="s">
        <v>462</v>
      </c>
      <c r="L63" s="67" t="s">
        <v>451</v>
      </c>
      <c r="M63" s="66" t="n">
        <f aca="false">IF(OR($A63="",$H63&lt;&gt;""),"",Targets!$C$8-$I63)</f>
        <v>7</v>
      </c>
      <c r="N63" s="66" t="str">
        <f aca="false">IF($A63="","",IF(AND($F63="Project",$E63="Active",$M63&lt;&gt;"",$M63&gt;Targets!$C$12),"Yes","No"))</f>
        <v>No</v>
      </c>
      <c r="O63" s="66" t="str">
        <f aca="false">IF($A63="","",IF(AND($G63&gt;=Targets!$C$7,$G63&lt;=Targets!$C$8),"Yes","No"))</f>
        <v>No</v>
      </c>
      <c r="P63" s="66" t="str">
        <f aca="false">IF($A63="","",IF(AND($H63&lt;&gt;"",$H63&gt;=Targets!$C$7,$H63&lt;=Targets!$C$8),"Yes","No"))</f>
        <v>No</v>
      </c>
      <c r="Q63" s="66" t="str">
        <f aca="false">IF($A63="","",IF(AND($F63="Project",$E63&lt;&gt;"Closed",$E63&lt;&gt;"Dormant"),"Yes","No"))</f>
        <v>Yes</v>
      </c>
      <c r="R63" s="66" t="str">
        <f aca="false">IF($A63="","",IF(AND($L63="In-house",OR($E63="Intake",$E63="Active",$E63="Waiting")),"Yes","No"))</f>
        <v>Yes</v>
      </c>
      <c r="S63" s="66" t="str">
        <f aca="false">IF($A63="","",$C63&amp;" | "&amp;$D63)</f>
        <v>Immigration and visas | Filed, awaiting a decision or with an evidence request pending</v>
      </c>
      <c r="T63" s="66" t="str">
        <f aca="false">IF($A63="","",IF(AND($L63="Outside provider",OR($E63="Intake",$E63="Active",$E63="Waiting")),"Yes","No"))</f>
        <v>No</v>
      </c>
    </row>
    <row r="64" customFormat="false" ht="15" hidden="false" customHeight="true" outlineLevel="0" collapsed="false">
      <c r="A64" s="63" t="s">
        <v>587</v>
      </c>
      <c r="B64" s="63" t="s">
        <v>588</v>
      </c>
      <c r="C64" s="63" t="s">
        <v>465</v>
      </c>
      <c r="D64" s="63" t="s">
        <v>509</v>
      </c>
      <c r="E64" s="63" t="str">
        <f aca="false">IF($A64="","",IFERROR(INDEX('Status map'!$D$6:$D$64,MATCH($C64&amp;" | "&amp;$D64,'Status map'!$I$6:$I$64,0)),"Unmapped"))</f>
        <v>Dormant</v>
      </c>
      <c r="F64" s="63" t="s">
        <v>510</v>
      </c>
      <c r="G64" s="69" t="n">
        <v>45238</v>
      </c>
      <c r="H64" s="69"/>
      <c r="I64" s="69" t="n">
        <v>45968</v>
      </c>
      <c r="J64" s="63" t="s">
        <v>461</v>
      </c>
      <c r="K64" s="63" t="s">
        <v>461</v>
      </c>
      <c r="L64" s="63" t="s">
        <v>451</v>
      </c>
      <c r="M64" s="66" t="n">
        <f aca="false">IF(OR($A64="",$H64&lt;&gt;""),"",Targets!$C$8-$I64)</f>
        <v>297</v>
      </c>
      <c r="N64" s="66" t="str">
        <f aca="false">IF($A64="","",IF(AND($F64="Project",$E64="Active",$M64&lt;&gt;"",$M64&gt;Targets!$C$12),"Yes","No"))</f>
        <v>No</v>
      </c>
      <c r="O64" s="66" t="str">
        <f aca="false">IF($A64="","",IF(AND($G64&gt;=Targets!$C$7,$G64&lt;=Targets!$C$8),"Yes","No"))</f>
        <v>No</v>
      </c>
      <c r="P64" s="66" t="str">
        <f aca="false">IF($A64="","",IF(AND($H64&lt;&gt;"",$H64&gt;=Targets!$C$7,$H64&lt;=Targets!$C$8),"Yes","No"))</f>
        <v>No</v>
      </c>
      <c r="Q64" s="66" t="str">
        <f aca="false">IF($A64="","",IF(AND($F64="Project",$E64&lt;&gt;"Closed",$E64&lt;&gt;"Dormant"),"Yes","No"))</f>
        <v>No</v>
      </c>
      <c r="R64" s="66" t="str">
        <f aca="false">IF($A64="","",IF(AND($L64="In-house",OR($E64="Intake",$E64="Active",$E64="Waiting")),"Yes","No"))</f>
        <v>No</v>
      </c>
      <c r="S64" s="66" t="str">
        <f aca="false">IF($A64="","",$C64&amp;" | "&amp;$D64)</f>
        <v>Immigration and visas | Approved, renewal window tracked</v>
      </c>
      <c r="T64" s="66" t="str">
        <f aca="false">IF($A64="","",IF(AND($L64="Outside provider",OR($E64="Intake",$E64="Active",$E64="Waiting")),"Yes","No"))</f>
        <v>No</v>
      </c>
    </row>
    <row r="65" customFormat="false" ht="15" hidden="false" customHeight="true" outlineLevel="0" collapsed="false">
      <c r="A65" s="67" t="s">
        <v>589</v>
      </c>
      <c r="B65" s="67" t="s">
        <v>590</v>
      </c>
      <c r="C65" s="67" t="s">
        <v>501</v>
      </c>
      <c r="D65" s="67" t="s">
        <v>517</v>
      </c>
      <c r="E65" s="67" t="str">
        <f aca="false">IF($A65="","",IFERROR(INDEX('Status map'!$D$6:$D$64,MATCH($C65&amp;" | "&amp;$D65,'Status map'!$I$6:$I$64,0)),"Unmapped"))</f>
        <v>Dormant</v>
      </c>
      <c r="F65" s="67" t="s">
        <v>510</v>
      </c>
      <c r="G65" s="70" t="n">
        <v>45871</v>
      </c>
      <c r="H65" s="70"/>
      <c r="I65" s="70" t="n">
        <v>46183</v>
      </c>
      <c r="J65" s="67" t="s">
        <v>449</v>
      </c>
      <c r="K65" s="67" t="s">
        <v>461</v>
      </c>
      <c r="L65" s="67" t="s">
        <v>451</v>
      </c>
      <c r="M65" s="66" t="n">
        <f aca="false">IF(OR($A65="",$H65&lt;&gt;""),"",Targets!$C$8-$I65)</f>
        <v>82</v>
      </c>
      <c r="N65" s="66" t="str">
        <f aca="false">IF($A65="","",IF(AND($F65="Project",$E65="Active",$M65&lt;&gt;"",$M65&gt;Targets!$C$12),"Yes","No"))</f>
        <v>No</v>
      </c>
      <c r="O65" s="66" t="str">
        <f aca="false">IF($A65="","",IF(AND($G65&gt;=Targets!$C$7,$G65&lt;=Targets!$C$8),"Yes","No"))</f>
        <v>No</v>
      </c>
      <c r="P65" s="66" t="str">
        <f aca="false">IF($A65="","",IF(AND($H65&lt;&gt;"",$H65&gt;=Targets!$C$7,$H65&lt;=Targets!$C$8),"Yes","No"))</f>
        <v>No</v>
      </c>
      <c r="Q65" s="66" t="str">
        <f aca="false">IF($A65="","",IF(AND($F65="Project",$E65&lt;&gt;"Closed",$E65&lt;&gt;"Dormant"),"Yes","No"))</f>
        <v>No</v>
      </c>
      <c r="R65" s="66" t="str">
        <f aca="false">IF($A65="","",IF(AND($L65="In-house",OR($E65="Intake",$E65="Active",$E65="Waiting")),"Yes","No"))</f>
        <v>No</v>
      </c>
      <c r="S65" s="66" t="str">
        <f aca="false">IF($A65="","",$C65&amp;" | "&amp;$D65)</f>
        <v>M&amp;A and corporate deals | Post-closing obligations tracked</v>
      </c>
      <c r="T65" s="66" t="str">
        <f aca="false">IF($A65="","",IF(AND($L65="Outside provider",OR($E65="Intake",$E65="Active",$E65="Waiting")),"Yes","No"))</f>
        <v>No</v>
      </c>
    </row>
    <row r="66" customFormat="false" ht="15" hidden="false" customHeight="true" outlineLevel="0" collapsed="false">
      <c r="A66" s="63" t="s">
        <v>591</v>
      </c>
      <c r="B66" s="63" t="s">
        <v>572</v>
      </c>
      <c r="C66" s="63" t="s">
        <v>465</v>
      </c>
      <c r="D66" s="63" t="s">
        <v>509</v>
      </c>
      <c r="E66" s="63" t="str">
        <f aca="false">IF($A66="","",IFERROR(INDEX('Status map'!$D$6:$D$64,MATCH($C66&amp;" | "&amp;$D66,'Status map'!$I$6:$I$64,0)),"Unmapped"))</f>
        <v>Dormant</v>
      </c>
      <c r="F66" s="63" t="s">
        <v>510</v>
      </c>
      <c r="G66" s="69" t="n">
        <v>45429</v>
      </c>
      <c r="H66" s="69"/>
      <c r="I66" s="69" t="n">
        <v>46093</v>
      </c>
      <c r="J66" s="63" t="s">
        <v>450</v>
      </c>
      <c r="K66" s="63" t="s">
        <v>450</v>
      </c>
      <c r="L66" s="63" t="s">
        <v>451</v>
      </c>
      <c r="M66" s="66" t="n">
        <f aca="false">IF(OR($A66="",$H66&lt;&gt;""),"",Targets!$C$8-$I66)</f>
        <v>172</v>
      </c>
      <c r="N66" s="66" t="str">
        <f aca="false">IF($A66="","",IF(AND($F66="Project",$E66="Active",$M66&lt;&gt;"",$M66&gt;Targets!$C$12),"Yes","No"))</f>
        <v>No</v>
      </c>
      <c r="O66" s="66" t="str">
        <f aca="false">IF($A66="","",IF(AND($G66&gt;=Targets!$C$7,$G66&lt;=Targets!$C$8),"Yes","No"))</f>
        <v>No</v>
      </c>
      <c r="P66" s="66" t="str">
        <f aca="false">IF($A66="","",IF(AND($H66&lt;&gt;"",$H66&gt;=Targets!$C$7,$H66&lt;=Targets!$C$8),"Yes","No"))</f>
        <v>No</v>
      </c>
      <c r="Q66" s="66" t="str">
        <f aca="false">IF($A66="","",IF(AND($F66="Project",$E66&lt;&gt;"Closed",$E66&lt;&gt;"Dormant"),"Yes","No"))</f>
        <v>No</v>
      </c>
      <c r="R66" s="66" t="str">
        <f aca="false">IF($A66="","",IF(AND($L66="In-house",OR($E66="Intake",$E66="Active",$E66="Waiting")),"Yes","No"))</f>
        <v>No</v>
      </c>
      <c r="S66" s="66" t="str">
        <f aca="false">IF($A66="","",$C66&amp;" | "&amp;$D66)</f>
        <v>Immigration and visas | Approved, renewal window tracked</v>
      </c>
      <c r="T66" s="66" t="str">
        <f aca="false">IF($A66="","",IF(AND($L66="Outside provider",OR($E66="Intake",$E66="Active",$E66="Waiting")),"Yes","No"))</f>
        <v>No</v>
      </c>
    </row>
    <row r="67" customFormat="false" ht="15" hidden="false" customHeight="true" outlineLevel="0" collapsed="false">
      <c r="A67" s="67" t="s">
        <v>592</v>
      </c>
      <c r="B67" s="67" t="s">
        <v>593</v>
      </c>
      <c r="C67" s="67" t="s">
        <v>454</v>
      </c>
      <c r="D67" s="67" t="s">
        <v>514</v>
      </c>
      <c r="E67" s="67" t="str">
        <f aca="false">IF($A67="","",IFERROR(INDEX('Status map'!$D$6:$D$64,MATCH($C67&amp;" | "&amp;$D67,'Status map'!$I$6:$I$64,0)),"Unmapped"))</f>
        <v>Active</v>
      </c>
      <c r="F67" s="67" t="s">
        <v>448</v>
      </c>
      <c r="G67" s="70" t="n">
        <v>45870</v>
      </c>
      <c r="H67" s="70"/>
      <c r="I67" s="70" t="n">
        <v>46265</v>
      </c>
      <c r="J67" s="67" t="s">
        <v>449</v>
      </c>
      <c r="K67" s="67" t="s">
        <v>449</v>
      </c>
      <c r="L67" s="67" t="s">
        <v>451</v>
      </c>
      <c r="M67" s="66" t="n">
        <f aca="false">IF(OR($A67="",$H67&lt;&gt;""),"",Targets!$C$8-$I67)</f>
        <v>0</v>
      </c>
      <c r="N67" s="66" t="str">
        <f aca="false">IF($A67="","",IF(AND($F67="Project",$E67="Active",$M67&lt;&gt;"",$M67&gt;Targets!$C$12),"Yes","No"))</f>
        <v>No</v>
      </c>
      <c r="O67" s="66" t="str">
        <f aca="false">IF($A67="","",IF(AND($G67&gt;=Targets!$C$7,$G67&lt;=Targets!$C$8),"Yes","No"))</f>
        <v>No</v>
      </c>
      <c r="P67" s="66" t="str">
        <f aca="false">IF($A67="","",IF(AND($H67&lt;&gt;"",$H67&gt;=Targets!$C$7,$H67&lt;=Targets!$C$8),"Yes","No"))</f>
        <v>No</v>
      </c>
      <c r="Q67" s="66" t="str">
        <f aca="false">IF($A67="","",IF(AND($F67="Project",$E67&lt;&gt;"Closed",$E67&lt;&gt;"Dormant"),"Yes","No"))</f>
        <v>Yes</v>
      </c>
      <c r="R67" s="66" t="str">
        <f aca="false">IF($A67="","",IF(AND($L67="In-house",OR($E67="Intake",$E67="Active",$E67="Waiting")),"Yes","No"))</f>
        <v>Yes</v>
      </c>
      <c r="S67" s="66" t="str">
        <f aca="false">IF($A67="","",$C67&amp;" | "&amp;$D67)</f>
        <v>Litigation | Active discovery, motions, or trial prep</v>
      </c>
      <c r="T67" s="66" t="str">
        <f aca="false">IF($A67="","",IF(AND($L67="Outside provider",OR($E67="Intake",$E67="Active",$E67="Waiting")),"Yes","No"))</f>
        <v>No</v>
      </c>
    </row>
    <row r="68" customFormat="false" ht="15" hidden="false" customHeight="true" outlineLevel="0" collapsed="false">
      <c r="A68" s="63" t="s">
        <v>399</v>
      </c>
      <c r="B68" s="63" t="s">
        <v>594</v>
      </c>
      <c r="C68" s="63" t="s">
        <v>454</v>
      </c>
      <c r="D68" s="63" t="s">
        <v>455</v>
      </c>
      <c r="E68" s="63" t="str">
        <f aca="false">IF($A68="","",IFERROR(INDEX('Status map'!$D$6:$D$64,MATCH($C68&amp;" | "&amp;$D68,'Status map'!$I$6:$I$64,0)),"Unmapped"))</f>
        <v>Closed</v>
      </c>
      <c r="F68" s="63" t="s">
        <v>448</v>
      </c>
      <c r="G68" s="69" t="n">
        <v>46253</v>
      </c>
      <c r="H68" s="69" t="n">
        <v>46260</v>
      </c>
      <c r="I68" s="69" t="n">
        <v>46260</v>
      </c>
      <c r="J68" s="63" t="s">
        <v>474</v>
      </c>
      <c r="K68" s="63" t="s">
        <v>462</v>
      </c>
      <c r="L68" s="63" t="s">
        <v>451</v>
      </c>
      <c r="M68" s="66" t="str">
        <f aca="false">IF(OR($A68="",$H68&lt;&gt;""),"",Targets!$C$8-$I68)</f>
        <v/>
      </c>
      <c r="N68" s="66" t="str">
        <f aca="false">IF($A68="","",IF(AND($F68="Project",$E68="Active",$M68&lt;&gt;"",$M68&gt;Targets!$C$12),"Yes","No"))</f>
        <v>No</v>
      </c>
      <c r="O68" s="66" t="str">
        <f aca="false">IF($A68="","",IF(AND($G68&gt;=Targets!$C$7,$G68&lt;=Targets!$C$8),"Yes","No"))</f>
        <v>Yes</v>
      </c>
      <c r="P68" s="66" t="str">
        <f aca="false">IF($A68="","",IF(AND($H68&lt;&gt;"",$H68&gt;=Targets!$C$7,$H68&lt;=Targets!$C$8),"Yes","No"))</f>
        <v>Yes</v>
      </c>
      <c r="Q68" s="66" t="str">
        <f aca="false">IF($A68="","",IF(AND($F68="Project",$E68&lt;&gt;"Closed",$E68&lt;&gt;"Dormant"),"Yes","No"))</f>
        <v>No</v>
      </c>
      <c r="R68" s="66" t="str">
        <f aca="false">IF($A68="","",IF(AND($L68="In-house",OR($E68="Intake",$E68="Active",$E68="Waiting")),"Yes","No"))</f>
        <v>No</v>
      </c>
      <c r="S68" s="66" t="str">
        <f aca="false">IF($A68="","",$C68&amp;" | "&amp;$D68)</f>
        <v>Litigation | Settled, dismissed, or judgment entered</v>
      </c>
      <c r="T68" s="66" t="str">
        <f aca="false">IF($A68="","",IF(AND($L68="Outside provider",OR($E68="Intake",$E68="Active",$E68="Waiting")),"Yes","No"))</f>
        <v>No</v>
      </c>
    </row>
    <row r="69" customFormat="false" ht="15" hidden="false" customHeight="true" outlineLevel="0" collapsed="false">
      <c r="A69" s="67" t="s">
        <v>595</v>
      </c>
      <c r="B69" s="67" t="s">
        <v>596</v>
      </c>
      <c r="C69" s="67" t="s">
        <v>446</v>
      </c>
      <c r="D69" s="67" t="s">
        <v>473</v>
      </c>
      <c r="E69" s="67" t="str">
        <f aca="false">IF($A69="","",IFERROR(INDEX('Status map'!$D$6:$D$64,MATCH($C69&amp;" | "&amp;$D69,'Status map'!$I$6:$I$64,0)),"Unmapped"))</f>
        <v>Closed</v>
      </c>
      <c r="F69" s="67" t="s">
        <v>448</v>
      </c>
      <c r="G69" s="70" t="n">
        <v>46030</v>
      </c>
      <c r="H69" s="70" t="n">
        <v>46162</v>
      </c>
      <c r="I69" s="70" t="n">
        <v>46162</v>
      </c>
      <c r="J69" s="67" t="s">
        <v>492</v>
      </c>
      <c r="K69" s="67" t="s">
        <v>470</v>
      </c>
      <c r="L69" s="67" t="s">
        <v>451</v>
      </c>
      <c r="M69" s="66" t="str">
        <f aca="false">IF(OR($A69="",$H69&lt;&gt;""),"",Targets!$C$8-$I69)</f>
        <v/>
      </c>
      <c r="N69" s="66" t="str">
        <f aca="false">IF($A69="","",IF(AND($F69="Project",$E69="Active",$M69&lt;&gt;"",$M69&gt;Targets!$C$12),"Yes","No"))</f>
        <v>No</v>
      </c>
      <c r="O69" s="66" t="str">
        <f aca="false">IF($A69="","",IF(AND($G69&gt;=Targets!$C$7,$G69&lt;=Targets!$C$8),"Yes","No"))</f>
        <v>No</v>
      </c>
      <c r="P69" s="66" t="str">
        <f aca="false">IF($A69="","",IF(AND($H69&lt;&gt;"",$H69&gt;=Targets!$C$7,$H69&lt;=Targets!$C$8),"Yes","No"))</f>
        <v>No</v>
      </c>
      <c r="Q69" s="66" t="str">
        <f aca="false">IF($A69="","",IF(AND($F69="Project",$E69&lt;&gt;"Closed",$E69&lt;&gt;"Dormant"),"Yes","No"))</f>
        <v>No</v>
      </c>
      <c r="R69" s="66" t="str">
        <f aca="false">IF($A69="","",IF(AND($L69="In-house",OR($E69="Intake",$E69="Active",$E69="Waiting")),"Yes","No"))</f>
        <v>No</v>
      </c>
      <c r="S69" s="66" t="str">
        <f aca="false">IF($A69="","",$C69&amp;" | "&amp;$D69)</f>
        <v>Employment | Resolved or closed</v>
      </c>
      <c r="T69" s="66" t="str">
        <f aca="false">IF($A69="","",IF(AND($L69="Outside provider",OR($E69="Intake",$E69="Active",$E69="Waiting")),"Yes","No"))</f>
        <v>No</v>
      </c>
    </row>
    <row r="70" customFormat="false" ht="15" hidden="false" customHeight="true" outlineLevel="0" collapsed="false">
      <c r="A70" s="63" t="s">
        <v>597</v>
      </c>
      <c r="B70" s="63" t="s">
        <v>598</v>
      </c>
      <c r="C70" s="63" t="s">
        <v>465</v>
      </c>
      <c r="D70" s="63" t="s">
        <v>586</v>
      </c>
      <c r="E70" s="63" t="str">
        <f aca="false">IF($A70="","",IFERROR(INDEX('Status map'!$D$6:$D$64,MATCH($C70&amp;" | "&amp;$D70,'Status map'!$I$6:$I$64,0)),"Unmapped"))</f>
        <v>Waiting</v>
      </c>
      <c r="F70" s="63" t="s">
        <v>510</v>
      </c>
      <c r="G70" s="69" t="n">
        <v>44675</v>
      </c>
      <c r="H70" s="69"/>
      <c r="I70" s="69" t="n">
        <v>46235</v>
      </c>
      <c r="J70" s="63" t="s">
        <v>449</v>
      </c>
      <c r="K70" s="63" t="s">
        <v>450</v>
      </c>
      <c r="L70" s="63" t="s">
        <v>451</v>
      </c>
      <c r="M70" s="66" t="n">
        <f aca="false">IF(OR($A70="",$H70&lt;&gt;""),"",Targets!$C$8-$I70)</f>
        <v>30</v>
      </c>
      <c r="N70" s="66" t="str">
        <f aca="false">IF($A70="","",IF(AND($F70="Project",$E70="Active",$M70&lt;&gt;"",$M70&gt;Targets!$C$12),"Yes","No"))</f>
        <v>No</v>
      </c>
      <c r="O70" s="66" t="str">
        <f aca="false">IF($A70="","",IF(AND($G70&gt;=Targets!$C$7,$G70&lt;=Targets!$C$8),"Yes","No"))</f>
        <v>No</v>
      </c>
      <c r="P70" s="66" t="str">
        <f aca="false">IF($A70="","",IF(AND($H70&lt;&gt;"",$H70&gt;=Targets!$C$7,$H70&lt;=Targets!$C$8),"Yes","No"))</f>
        <v>No</v>
      </c>
      <c r="Q70" s="66" t="str">
        <f aca="false">IF($A70="","",IF(AND($F70="Project",$E70&lt;&gt;"Closed",$E70&lt;&gt;"Dormant"),"Yes","No"))</f>
        <v>No</v>
      </c>
      <c r="R70" s="66" t="str">
        <f aca="false">IF($A70="","",IF(AND($L70="In-house",OR($E70="Intake",$E70="Active",$E70="Waiting")),"Yes","No"))</f>
        <v>Yes</v>
      </c>
      <c r="S70" s="66" t="str">
        <f aca="false">IF($A70="","",$C70&amp;" | "&amp;$D70)</f>
        <v>Immigration and visas | Filed, awaiting a decision or with an evidence request pending</v>
      </c>
      <c r="T70" s="66" t="str">
        <f aca="false">IF($A70="","",IF(AND($L70="Outside provider",OR($E70="Intake",$E70="Active",$E70="Waiting")),"Yes","No"))</f>
        <v>No</v>
      </c>
    </row>
    <row r="71" customFormat="false" ht="15" hidden="false" customHeight="true" outlineLevel="0" collapsed="false">
      <c r="A71" s="67" t="s">
        <v>599</v>
      </c>
      <c r="B71" s="67" t="s">
        <v>600</v>
      </c>
      <c r="C71" s="67" t="s">
        <v>487</v>
      </c>
      <c r="D71" s="67" t="s">
        <v>601</v>
      </c>
      <c r="E71" s="67" t="str">
        <f aca="false">IF($A71="","",IFERROR(INDEX('Status map'!$D$6:$D$64,MATCH($C71&amp;" | "&amp;$D71,'Status map'!$I$6:$I$64,0)),"Unmapped"))</f>
        <v>Closed</v>
      </c>
      <c r="F71" s="67" t="s">
        <v>482</v>
      </c>
      <c r="G71" s="70" t="n">
        <v>45964</v>
      </c>
      <c r="H71" s="70" t="n">
        <v>46264</v>
      </c>
      <c r="I71" s="70" t="n">
        <v>46264</v>
      </c>
      <c r="J71" s="67" t="s">
        <v>470</v>
      </c>
      <c r="K71" s="67" t="s">
        <v>470</v>
      </c>
      <c r="L71" s="67" t="s">
        <v>451</v>
      </c>
      <c r="M71" s="66" t="str">
        <f aca="false">IF(OR($A71="",$H71&lt;&gt;""),"",Targets!$C$8-$I71)</f>
        <v/>
      </c>
      <c r="N71" s="66" t="str">
        <f aca="false">IF($A71="","",IF(AND($F71="Project",$E71="Active",$M71&lt;&gt;"",$M71&gt;Targets!$C$12),"Yes","No"))</f>
        <v>No</v>
      </c>
      <c r="O71" s="66" t="str">
        <f aca="false">IF($A71="","",IF(AND($G71&gt;=Targets!$C$7,$G71&lt;=Targets!$C$8),"Yes","No"))</f>
        <v>No</v>
      </c>
      <c r="P71" s="66" t="str">
        <f aca="false">IF($A71="","",IF(AND($H71&lt;&gt;"",$H71&gt;=Targets!$C$7,$H71&lt;=Targets!$C$8),"Yes","No"))</f>
        <v>Yes</v>
      </c>
      <c r="Q71" s="66" t="str">
        <f aca="false">IF($A71="","",IF(AND($F71="Project",$E71&lt;&gt;"Closed",$E71&lt;&gt;"Dormant"),"Yes","No"))</f>
        <v>No</v>
      </c>
      <c r="R71" s="66" t="str">
        <f aca="false">IF($A71="","",IF(AND($L71="In-house",OR($E71="Intake",$E71="Active",$E71="Waiting")),"Yes","No"))</f>
        <v>No</v>
      </c>
      <c r="S71" s="66" t="str">
        <f aca="false">IF($A71="","",$C71&amp;" | "&amp;$D71)</f>
        <v>Corporate and entity management | Entity dissolved</v>
      </c>
      <c r="T71" s="66" t="str">
        <f aca="false">IF($A71="","",IF(AND($L71="Outside provider",OR($E71="Intake",$E71="Active",$E71="Waiting")),"Yes","No"))</f>
        <v>No</v>
      </c>
    </row>
    <row r="72" customFormat="false" ht="15" hidden="false" customHeight="true" outlineLevel="0" collapsed="false">
      <c r="A72" s="63" t="s">
        <v>602</v>
      </c>
      <c r="B72" s="63" t="s">
        <v>603</v>
      </c>
      <c r="C72" s="63" t="s">
        <v>487</v>
      </c>
      <c r="D72" s="63" t="s">
        <v>601</v>
      </c>
      <c r="E72" s="63" t="str">
        <f aca="false">IF($A72="","",IFERROR(INDEX('Status map'!$D$6:$D$64,MATCH($C72&amp;" | "&amp;$D72,'Status map'!$I$6:$I$64,0)),"Unmapped"))</f>
        <v>Closed</v>
      </c>
      <c r="F72" s="63" t="s">
        <v>482</v>
      </c>
      <c r="G72" s="69" t="n">
        <v>45959</v>
      </c>
      <c r="H72" s="69" t="n">
        <v>46046</v>
      </c>
      <c r="I72" s="69" t="n">
        <v>46046</v>
      </c>
      <c r="J72" s="63" t="s">
        <v>492</v>
      </c>
      <c r="K72" s="63" t="s">
        <v>461</v>
      </c>
      <c r="L72" s="63" t="s">
        <v>451</v>
      </c>
      <c r="M72" s="66" t="str">
        <f aca="false">IF(OR($A72="",$H72&lt;&gt;""),"",Targets!$C$8-$I72)</f>
        <v/>
      </c>
      <c r="N72" s="66" t="str">
        <f aca="false">IF($A72="","",IF(AND($F72="Project",$E72="Active",$M72&lt;&gt;"",$M72&gt;Targets!$C$12),"Yes","No"))</f>
        <v>No</v>
      </c>
      <c r="O72" s="66" t="str">
        <f aca="false">IF($A72="","",IF(AND($G72&gt;=Targets!$C$7,$G72&lt;=Targets!$C$8),"Yes","No"))</f>
        <v>No</v>
      </c>
      <c r="P72" s="66" t="str">
        <f aca="false">IF($A72="","",IF(AND($H72&lt;&gt;"",$H72&gt;=Targets!$C$7,$H72&lt;=Targets!$C$8),"Yes","No"))</f>
        <v>No</v>
      </c>
      <c r="Q72" s="66" t="str">
        <f aca="false">IF($A72="","",IF(AND($F72="Project",$E72&lt;&gt;"Closed",$E72&lt;&gt;"Dormant"),"Yes","No"))</f>
        <v>No</v>
      </c>
      <c r="R72" s="66" t="str">
        <f aca="false">IF($A72="","",IF(AND($L72="In-house",OR($E72="Intake",$E72="Active",$E72="Waiting")),"Yes","No"))</f>
        <v>No</v>
      </c>
      <c r="S72" s="66" t="str">
        <f aca="false">IF($A72="","",$C72&amp;" | "&amp;$D72)</f>
        <v>Corporate and entity management | Entity dissolved</v>
      </c>
      <c r="T72" s="66" t="str">
        <f aca="false">IF($A72="","",IF(AND($L72="Outside provider",OR($E72="Intake",$E72="Active",$E72="Waiting")),"Yes","No"))</f>
        <v>No</v>
      </c>
    </row>
    <row r="73" customFormat="false" ht="15" hidden="false" customHeight="true" outlineLevel="0" collapsed="false">
      <c r="A73" s="67" t="s">
        <v>604</v>
      </c>
      <c r="B73" s="67" t="s">
        <v>605</v>
      </c>
      <c r="C73" s="67" t="s">
        <v>465</v>
      </c>
      <c r="D73" s="67" t="s">
        <v>469</v>
      </c>
      <c r="E73" s="67" t="str">
        <f aca="false">IF($A73="","",IFERROR(INDEX('Status map'!$D$6:$D$64,MATCH($C73&amp;" | "&amp;$D73,'Status map'!$I$6:$I$64,0)),"Unmapped"))</f>
        <v>Active</v>
      </c>
      <c r="F73" s="67" t="s">
        <v>448</v>
      </c>
      <c r="G73" s="70" t="n">
        <v>46177</v>
      </c>
      <c r="H73" s="70"/>
      <c r="I73" s="70" t="n">
        <v>46247</v>
      </c>
      <c r="J73" s="67" t="s">
        <v>449</v>
      </c>
      <c r="K73" s="67" t="s">
        <v>462</v>
      </c>
      <c r="L73" s="67" t="s">
        <v>451</v>
      </c>
      <c r="M73" s="66" t="n">
        <f aca="false">IF(OR($A73="",$H73&lt;&gt;""),"",Targets!$C$8-$I73)</f>
        <v>18</v>
      </c>
      <c r="N73" s="66" t="str">
        <f aca="false">IF($A73="","",IF(AND($F73="Project",$E73="Active",$M73&lt;&gt;"",$M73&gt;Targets!$C$12),"Yes","No"))</f>
        <v>No</v>
      </c>
      <c r="O73" s="66" t="str">
        <f aca="false">IF($A73="","",IF(AND($G73&gt;=Targets!$C$7,$G73&lt;=Targets!$C$8),"Yes","No"))</f>
        <v>No</v>
      </c>
      <c r="P73" s="66" t="str">
        <f aca="false">IF($A73="","",IF(AND($H73&lt;&gt;"",$H73&gt;=Targets!$C$7,$H73&lt;=Targets!$C$8),"Yes","No"))</f>
        <v>No</v>
      </c>
      <c r="Q73" s="66" t="str">
        <f aca="false">IF($A73="","",IF(AND($F73="Project",$E73&lt;&gt;"Closed",$E73&lt;&gt;"Dormant"),"Yes","No"))</f>
        <v>Yes</v>
      </c>
      <c r="R73" s="66" t="str">
        <f aca="false">IF($A73="","",IF(AND($L73="In-house",OR($E73="Intake",$E73="Active",$E73="Waiting")),"Yes","No"))</f>
        <v>Yes</v>
      </c>
      <c r="S73" s="66" t="str">
        <f aca="false">IF($A73="","",$C73&amp;" | "&amp;$D73)</f>
        <v>Immigration and visas | Petition or an evidence response being prepared</v>
      </c>
      <c r="T73" s="66" t="str">
        <f aca="false">IF($A73="","",IF(AND($L73="Outside provider",OR($E73="Intake",$E73="Active",$E73="Waiting")),"Yes","No"))</f>
        <v>No</v>
      </c>
    </row>
    <row r="74" customFormat="false" ht="15" hidden="false" customHeight="true" outlineLevel="0" collapsed="false">
      <c r="A74" s="63" t="s">
        <v>606</v>
      </c>
      <c r="B74" s="63" t="s">
        <v>607</v>
      </c>
      <c r="C74" s="63" t="s">
        <v>454</v>
      </c>
      <c r="D74" s="63" t="s">
        <v>455</v>
      </c>
      <c r="E74" s="63" t="str">
        <f aca="false">IF($A74="","",IFERROR(INDEX('Status map'!$D$6:$D$64,MATCH($C74&amp;" | "&amp;$D74,'Status map'!$I$6:$I$64,0)),"Unmapped"))</f>
        <v>Closed</v>
      </c>
      <c r="F74" s="63" t="s">
        <v>448</v>
      </c>
      <c r="G74" s="69" t="n">
        <v>45941</v>
      </c>
      <c r="H74" s="69" t="n">
        <v>46117</v>
      </c>
      <c r="I74" s="69" t="n">
        <v>46117</v>
      </c>
      <c r="J74" s="63" t="s">
        <v>461</v>
      </c>
      <c r="K74" s="63" t="s">
        <v>470</v>
      </c>
      <c r="L74" s="63" t="s">
        <v>451</v>
      </c>
      <c r="M74" s="66" t="str">
        <f aca="false">IF(OR($A74="",$H74&lt;&gt;""),"",Targets!$C$8-$I74)</f>
        <v/>
      </c>
      <c r="N74" s="66" t="str">
        <f aca="false">IF($A74="","",IF(AND($F74="Project",$E74="Active",$M74&lt;&gt;"",$M74&gt;Targets!$C$12),"Yes","No"))</f>
        <v>No</v>
      </c>
      <c r="O74" s="66" t="str">
        <f aca="false">IF($A74="","",IF(AND($G74&gt;=Targets!$C$7,$G74&lt;=Targets!$C$8),"Yes","No"))</f>
        <v>No</v>
      </c>
      <c r="P74" s="66" t="str">
        <f aca="false">IF($A74="","",IF(AND($H74&lt;&gt;"",$H74&gt;=Targets!$C$7,$H74&lt;=Targets!$C$8),"Yes","No"))</f>
        <v>No</v>
      </c>
      <c r="Q74" s="66" t="str">
        <f aca="false">IF($A74="","",IF(AND($F74="Project",$E74&lt;&gt;"Closed",$E74&lt;&gt;"Dormant"),"Yes","No"))</f>
        <v>No</v>
      </c>
      <c r="R74" s="66" t="str">
        <f aca="false">IF($A74="","",IF(AND($L74="In-house",OR($E74="Intake",$E74="Active",$E74="Waiting")),"Yes","No"))</f>
        <v>No</v>
      </c>
      <c r="S74" s="66" t="str">
        <f aca="false">IF($A74="","",$C74&amp;" | "&amp;$D74)</f>
        <v>Litigation | Settled, dismissed, or judgment entered</v>
      </c>
      <c r="T74" s="66" t="str">
        <f aca="false">IF($A74="","",IF(AND($L74="Outside provider",OR($E74="Intake",$E74="Active",$E74="Waiting")),"Yes","No"))</f>
        <v>No</v>
      </c>
    </row>
    <row r="75" customFormat="false" ht="15" hidden="false" customHeight="true" outlineLevel="0" collapsed="false">
      <c r="A75" s="67" t="s">
        <v>608</v>
      </c>
      <c r="B75" s="67" t="s">
        <v>609</v>
      </c>
      <c r="C75" s="67" t="s">
        <v>446</v>
      </c>
      <c r="D75" s="67" t="s">
        <v>545</v>
      </c>
      <c r="E75" s="67" t="str">
        <f aca="false">IF($A75="","",IFERROR(INDEX('Status map'!$D$6:$D$64,MATCH($C75&amp;" | "&amp;$D75,'Status map'!$I$6:$I$64,0)),"Unmapped"))</f>
        <v>Active</v>
      </c>
      <c r="F75" s="67" t="s">
        <v>448</v>
      </c>
      <c r="G75" s="70" t="n">
        <v>46013</v>
      </c>
      <c r="H75" s="70"/>
      <c r="I75" s="70" t="n">
        <v>46240</v>
      </c>
      <c r="J75" s="67" t="s">
        <v>470</v>
      </c>
      <c r="K75" s="67" t="s">
        <v>470</v>
      </c>
      <c r="L75" s="67" t="s">
        <v>451</v>
      </c>
      <c r="M75" s="66" t="n">
        <f aca="false">IF(OR($A75="",$H75&lt;&gt;""),"",Targets!$C$8-$I75)</f>
        <v>25</v>
      </c>
      <c r="N75" s="66" t="str">
        <f aca="false">IF($A75="","",IF(AND($F75="Project",$E75="Active",$M75&lt;&gt;"",$M75&gt;Targets!$C$12),"Yes","No"))</f>
        <v>No</v>
      </c>
      <c r="O75" s="66" t="str">
        <f aca="false">IF($A75="","",IF(AND($G75&gt;=Targets!$C$7,$G75&lt;=Targets!$C$8),"Yes","No"))</f>
        <v>No</v>
      </c>
      <c r="P75" s="66" t="str">
        <f aca="false">IF($A75="","",IF(AND($H75&lt;&gt;"",$H75&gt;=Targets!$C$7,$H75&lt;=Targets!$C$8),"Yes","No"))</f>
        <v>No</v>
      </c>
      <c r="Q75" s="66" t="str">
        <f aca="false">IF($A75="","",IF(AND($F75="Project",$E75&lt;&gt;"Closed",$E75&lt;&gt;"Dormant"),"Yes","No"))</f>
        <v>Yes</v>
      </c>
      <c r="R75" s="66" t="str">
        <f aca="false">IF($A75="","",IF(AND($L75="In-house",OR($E75="Intake",$E75="Active",$E75="Waiting")),"Yes","No"))</f>
        <v>Yes</v>
      </c>
      <c r="S75" s="66" t="str">
        <f aca="false">IF($A75="","",$C75&amp;" | "&amp;$D75)</f>
        <v>Employment | Investigation underway</v>
      </c>
      <c r="T75" s="66" t="str">
        <f aca="false">IF($A75="","",IF(AND($L75="Outside provider",OR($E75="Intake",$E75="Active",$E75="Waiting")),"Yes","No"))</f>
        <v>No</v>
      </c>
    </row>
    <row r="76" customFormat="false" ht="15" hidden="false" customHeight="true" outlineLevel="0" collapsed="false">
      <c r="A76" s="63" t="s">
        <v>610</v>
      </c>
      <c r="B76" s="63" t="s">
        <v>611</v>
      </c>
      <c r="C76" s="63" t="s">
        <v>459</v>
      </c>
      <c r="D76" s="63" t="s">
        <v>491</v>
      </c>
      <c r="E76" s="63" t="str">
        <f aca="false">IF($A76="","",IFERROR(INDEX('Status map'!$D$6:$D$64,MATCH($C76&amp;" | "&amp;$D76,'Status map'!$I$6:$I$64,0)),"Unmapped"))</f>
        <v>Active</v>
      </c>
      <c r="F76" s="63" t="s">
        <v>448</v>
      </c>
      <c r="G76" s="69" t="n">
        <v>45999</v>
      </c>
      <c r="H76" s="69"/>
      <c r="I76" s="69" t="n">
        <v>46260</v>
      </c>
      <c r="J76" s="63" t="s">
        <v>492</v>
      </c>
      <c r="K76" s="63" t="s">
        <v>462</v>
      </c>
      <c r="L76" s="63" t="s">
        <v>451</v>
      </c>
      <c r="M76" s="66" t="n">
        <f aca="false">IF(OR($A76="",$H76&lt;&gt;""),"",Targets!$C$8-$I76)</f>
        <v>5</v>
      </c>
      <c r="N76" s="66" t="str">
        <f aca="false">IF($A76="","",IF(AND($F76="Project",$E76="Active",$M76&lt;&gt;"",$M76&gt;Targets!$C$12),"Yes","No"))</f>
        <v>No</v>
      </c>
      <c r="O76" s="66" t="str">
        <f aca="false">IF($A76="","",IF(AND($G76&gt;=Targets!$C$7,$G76&lt;=Targets!$C$8),"Yes","No"))</f>
        <v>No</v>
      </c>
      <c r="P76" s="66" t="str">
        <f aca="false">IF($A76="","",IF(AND($H76&lt;&gt;"",$H76&gt;=Targets!$C$7,$H76&lt;=Targets!$C$8),"Yes","No"))</f>
        <v>No</v>
      </c>
      <c r="Q76" s="66" t="str">
        <f aca="false">IF($A76="","",IF(AND($F76="Project",$E76&lt;&gt;"Closed",$E76&lt;&gt;"Dormant"),"Yes","No"))</f>
        <v>Yes</v>
      </c>
      <c r="R76" s="66" t="str">
        <f aca="false">IF($A76="","",IF(AND($L76="In-house",OR($E76="Intake",$E76="Active",$E76="Waiting")),"Yes","No"))</f>
        <v>Yes</v>
      </c>
      <c r="S76" s="66" t="str">
        <f aca="false">IF($A76="","",$C76&amp;" | "&amp;$D76)</f>
        <v>Contracts | Drafting, review, or negotiation</v>
      </c>
      <c r="T76" s="66" t="str">
        <f aca="false">IF($A76="","",IF(AND($L76="Outside provider",OR($E76="Intake",$E76="Active",$E76="Waiting")),"Yes","No"))</f>
        <v>No</v>
      </c>
    </row>
    <row r="77" customFormat="false" ht="15" hidden="false" customHeight="true" outlineLevel="0" collapsed="false">
      <c r="A77" s="67" t="s">
        <v>612</v>
      </c>
      <c r="B77" s="67" t="s">
        <v>613</v>
      </c>
      <c r="C77" s="67" t="s">
        <v>465</v>
      </c>
      <c r="D77" s="67" t="s">
        <v>469</v>
      </c>
      <c r="E77" s="67" t="str">
        <f aca="false">IF($A77="","",IFERROR(INDEX('Status map'!$D$6:$D$64,MATCH($C77&amp;" | "&amp;$D77,'Status map'!$I$6:$I$64,0)),"Unmapped"))</f>
        <v>Active</v>
      </c>
      <c r="F77" s="67" t="s">
        <v>448</v>
      </c>
      <c r="G77" s="70" t="n">
        <v>46053</v>
      </c>
      <c r="H77" s="70"/>
      <c r="I77" s="70" t="n">
        <v>46253</v>
      </c>
      <c r="J77" s="67" t="s">
        <v>474</v>
      </c>
      <c r="K77" s="67" t="s">
        <v>462</v>
      </c>
      <c r="L77" s="67" t="s">
        <v>451</v>
      </c>
      <c r="M77" s="66" t="n">
        <f aca="false">IF(OR($A77="",$H77&lt;&gt;""),"",Targets!$C$8-$I77)</f>
        <v>12</v>
      </c>
      <c r="N77" s="66" t="str">
        <f aca="false">IF($A77="","",IF(AND($F77="Project",$E77="Active",$M77&lt;&gt;"",$M77&gt;Targets!$C$12),"Yes","No"))</f>
        <v>No</v>
      </c>
      <c r="O77" s="66" t="str">
        <f aca="false">IF($A77="","",IF(AND($G77&gt;=Targets!$C$7,$G77&lt;=Targets!$C$8),"Yes","No"))</f>
        <v>No</v>
      </c>
      <c r="P77" s="66" t="str">
        <f aca="false">IF($A77="","",IF(AND($H77&lt;&gt;"",$H77&gt;=Targets!$C$7,$H77&lt;=Targets!$C$8),"Yes","No"))</f>
        <v>No</v>
      </c>
      <c r="Q77" s="66" t="str">
        <f aca="false">IF($A77="","",IF(AND($F77="Project",$E77&lt;&gt;"Closed",$E77&lt;&gt;"Dormant"),"Yes","No"))</f>
        <v>Yes</v>
      </c>
      <c r="R77" s="66" t="str">
        <f aca="false">IF($A77="","",IF(AND($L77="In-house",OR($E77="Intake",$E77="Active",$E77="Waiting")),"Yes","No"))</f>
        <v>Yes</v>
      </c>
      <c r="S77" s="66" t="str">
        <f aca="false">IF($A77="","",$C77&amp;" | "&amp;$D77)</f>
        <v>Immigration and visas | Petition or an evidence response being prepared</v>
      </c>
      <c r="T77" s="66" t="str">
        <f aca="false">IF($A77="","",IF(AND($L77="Outside provider",OR($E77="Intake",$E77="Active",$E77="Waiting")),"Yes","No"))</f>
        <v>No</v>
      </c>
    </row>
    <row r="78" customFormat="false" ht="15" hidden="false" customHeight="true" outlineLevel="0" collapsed="false">
      <c r="A78" s="63" t="s">
        <v>614</v>
      </c>
      <c r="B78" s="63" t="s">
        <v>615</v>
      </c>
      <c r="C78" s="63" t="s">
        <v>487</v>
      </c>
      <c r="D78" s="63" t="s">
        <v>548</v>
      </c>
      <c r="E78" s="63" t="str">
        <f aca="false">IF($A78="","",IFERROR(INDEX('Status map'!$D$6:$D$64,MATCH($C78&amp;" | "&amp;$D78,'Status map'!$I$6:$I$64,0)),"Unmapped"))</f>
        <v>Dormant</v>
      </c>
      <c r="F78" s="63" t="s">
        <v>510</v>
      </c>
      <c r="G78" s="69" t="n">
        <v>45342</v>
      </c>
      <c r="H78" s="69"/>
      <c r="I78" s="69" t="n">
        <v>46044</v>
      </c>
      <c r="J78" s="63" t="s">
        <v>461</v>
      </c>
      <c r="K78" s="63" t="s">
        <v>470</v>
      </c>
      <c r="L78" s="63" t="s">
        <v>451</v>
      </c>
      <c r="M78" s="66" t="n">
        <f aca="false">IF(OR($A78="",$H78&lt;&gt;""),"",Targets!$C$8-$I78)</f>
        <v>221</v>
      </c>
      <c r="N78" s="66" t="str">
        <f aca="false">IF($A78="","",IF(AND($F78="Project",$E78="Active",$M78&lt;&gt;"",$M78&gt;Targets!$C$12),"Yes","No"))</f>
        <v>No</v>
      </c>
      <c r="O78" s="66" t="str">
        <f aca="false">IF($A78="","",IF(AND($G78&gt;=Targets!$C$7,$G78&lt;=Targets!$C$8),"Yes","No"))</f>
        <v>No</v>
      </c>
      <c r="P78" s="66" t="str">
        <f aca="false">IF($A78="","",IF(AND($H78&lt;&gt;"",$H78&gt;=Targets!$C$7,$H78&lt;=Targets!$C$8),"Yes","No"))</f>
        <v>No</v>
      </c>
      <c r="Q78" s="66" t="str">
        <f aca="false">IF($A78="","",IF(AND($F78="Project",$E78&lt;&gt;"Closed",$E78&lt;&gt;"Dormant"),"Yes","No"))</f>
        <v>No</v>
      </c>
      <c r="R78" s="66" t="str">
        <f aca="false">IF($A78="","",IF(AND($L78="In-house",OR($E78="Intake",$E78="Active",$E78="Waiting")),"Yes","No"))</f>
        <v>No</v>
      </c>
      <c r="S78" s="66" t="str">
        <f aca="false">IF($A78="","",$C78&amp;" | "&amp;$D78)</f>
        <v>Corporate and entity management | Entity in good standing</v>
      </c>
      <c r="T78" s="66" t="str">
        <f aca="false">IF($A78="","",IF(AND($L78="Outside provider",OR($E78="Intake",$E78="Active",$E78="Waiting")),"Yes","No"))</f>
        <v>No</v>
      </c>
    </row>
    <row r="79" customFormat="false" ht="15" hidden="false" customHeight="true" outlineLevel="0" collapsed="false">
      <c r="A79" s="67" t="s">
        <v>616</v>
      </c>
      <c r="B79" s="67" t="s">
        <v>617</v>
      </c>
      <c r="C79" s="67" t="s">
        <v>459</v>
      </c>
      <c r="D79" s="67" t="s">
        <v>478</v>
      </c>
      <c r="E79" s="67" t="str">
        <f aca="false">IF($A79="","",IFERROR(INDEX('Status map'!$D$6:$D$64,MATCH($C79&amp;" | "&amp;$D79,'Status map'!$I$6:$I$64,0)),"Unmapped"))</f>
        <v>Closed</v>
      </c>
      <c r="F79" s="67" t="s">
        <v>482</v>
      </c>
      <c r="G79" s="70" t="n">
        <v>46114</v>
      </c>
      <c r="H79" s="70" t="n">
        <v>46204</v>
      </c>
      <c r="I79" s="70" t="n">
        <v>46204</v>
      </c>
      <c r="J79" s="67" t="s">
        <v>474</v>
      </c>
      <c r="K79" s="67" t="s">
        <v>462</v>
      </c>
      <c r="L79" s="67" t="s">
        <v>451</v>
      </c>
      <c r="M79" s="66" t="str">
        <f aca="false">IF(OR($A79="",$H79&lt;&gt;""),"",Targets!$C$8-$I79)</f>
        <v/>
      </c>
      <c r="N79" s="66" t="str">
        <f aca="false">IF($A79="","",IF(AND($F79="Project",$E79="Active",$M79&lt;&gt;"",$M79&gt;Targets!$C$12),"Yes","No"))</f>
        <v>No</v>
      </c>
      <c r="O79" s="66" t="str">
        <f aca="false">IF($A79="","",IF(AND($G79&gt;=Targets!$C$7,$G79&lt;=Targets!$C$8),"Yes","No"))</f>
        <v>No</v>
      </c>
      <c r="P79" s="66" t="str">
        <f aca="false">IF($A79="","",IF(AND($H79&lt;&gt;"",$H79&gt;=Targets!$C$7,$H79&lt;=Targets!$C$8),"Yes","No"))</f>
        <v>No</v>
      </c>
      <c r="Q79" s="66" t="str">
        <f aca="false">IF($A79="","",IF(AND($F79="Project",$E79&lt;&gt;"Closed",$E79&lt;&gt;"Dormant"),"Yes","No"))</f>
        <v>No</v>
      </c>
      <c r="R79" s="66" t="str">
        <f aca="false">IF($A79="","",IF(AND($L79="In-house",OR($E79="Intake",$E79="Active",$E79="Waiting")),"Yes","No"))</f>
        <v>No</v>
      </c>
      <c r="S79" s="66" t="str">
        <f aca="false">IF($A79="","",$C79&amp;" | "&amp;$D79)</f>
        <v>Contracts | Executed</v>
      </c>
      <c r="T79" s="66" t="str">
        <f aca="false">IF($A79="","",IF(AND($L79="Outside provider",OR($E79="Intake",$E79="Active",$E79="Waiting")),"Yes","No"))</f>
        <v>No</v>
      </c>
    </row>
    <row r="80" customFormat="false" ht="15" hidden="false" customHeight="true" outlineLevel="0" collapsed="false">
      <c r="A80" s="63" t="s">
        <v>618</v>
      </c>
      <c r="B80" s="63" t="s">
        <v>619</v>
      </c>
      <c r="C80" s="63" t="s">
        <v>459</v>
      </c>
      <c r="D80" s="63" t="s">
        <v>478</v>
      </c>
      <c r="E80" s="63" t="str">
        <f aca="false">IF($A80="","",IFERROR(INDEX('Status map'!$D$6:$D$64,MATCH($C80&amp;" | "&amp;$D80,'Status map'!$I$6:$I$64,0)),"Unmapped"))</f>
        <v>Closed</v>
      </c>
      <c r="F80" s="63" t="s">
        <v>448</v>
      </c>
      <c r="G80" s="69" t="n">
        <v>45870</v>
      </c>
      <c r="H80" s="69" t="n">
        <v>46062</v>
      </c>
      <c r="I80" s="69" t="n">
        <v>46062</v>
      </c>
      <c r="J80" s="63" t="s">
        <v>470</v>
      </c>
      <c r="K80" s="63" t="s">
        <v>456</v>
      </c>
      <c r="L80" s="63" t="s">
        <v>451</v>
      </c>
      <c r="M80" s="66" t="str">
        <f aca="false">IF(OR($A80="",$H80&lt;&gt;""),"",Targets!$C$8-$I80)</f>
        <v/>
      </c>
      <c r="N80" s="66" t="str">
        <f aca="false">IF($A80="","",IF(AND($F80="Project",$E80="Active",$M80&lt;&gt;"",$M80&gt;Targets!$C$12),"Yes","No"))</f>
        <v>No</v>
      </c>
      <c r="O80" s="66" t="str">
        <f aca="false">IF($A80="","",IF(AND($G80&gt;=Targets!$C$7,$G80&lt;=Targets!$C$8),"Yes","No"))</f>
        <v>No</v>
      </c>
      <c r="P80" s="66" t="str">
        <f aca="false">IF($A80="","",IF(AND($H80&lt;&gt;"",$H80&gt;=Targets!$C$7,$H80&lt;=Targets!$C$8),"Yes","No"))</f>
        <v>No</v>
      </c>
      <c r="Q80" s="66" t="str">
        <f aca="false">IF($A80="","",IF(AND($F80="Project",$E80&lt;&gt;"Closed",$E80&lt;&gt;"Dormant"),"Yes","No"))</f>
        <v>No</v>
      </c>
      <c r="R80" s="66" t="str">
        <f aca="false">IF($A80="","",IF(AND($L80="In-house",OR($E80="Intake",$E80="Active",$E80="Waiting")),"Yes","No"))</f>
        <v>No</v>
      </c>
      <c r="S80" s="66" t="str">
        <f aca="false">IF($A80="","",$C80&amp;" | "&amp;$D80)</f>
        <v>Contracts | Executed</v>
      </c>
      <c r="T80" s="66" t="str">
        <f aca="false">IF($A80="","",IF(AND($L80="Outside provider",OR($E80="Intake",$E80="Active",$E80="Waiting")),"Yes","No"))</f>
        <v>No</v>
      </c>
    </row>
    <row r="81" customFormat="false" ht="15" hidden="false" customHeight="true" outlineLevel="0" collapsed="false">
      <c r="A81" s="67" t="s">
        <v>620</v>
      </c>
      <c r="B81" s="67" t="s">
        <v>489</v>
      </c>
      <c r="C81" s="67" t="s">
        <v>446</v>
      </c>
      <c r="D81" s="67" t="s">
        <v>545</v>
      </c>
      <c r="E81" s="67" t="str">
        <f aca="false">IF($A81="","",IFERROR(INDEX('Status map'!$D$6:$D$64,MATCH($C81&amp;" | "&amp;$D81,'Status map'!$I$6:$I$64,0)),"Unmapped"))</f>
        <v>Active</v>
      </c>
      <c r="F81" s="67" t="s">
        <v>448</v>
      </c>
      <c r="G81" s="70" t="n">
        <v>46088</v>
      </c>
      <c r="H81" s="70"/>
      <c r="I81" s="70" t="n">
        <v>46254</v>
      </c>
      <c r="J81" s="67" t="s">
        <v>470</v>
      </c>
      <c r="K81" s="67" t="s">
        <v>449</v>
      </c>
      <c r="L81" s="67" t="s">
        <v>451</v>
      </c>
      <c r="M81" s="66" t="n">
        <f aca="false">IF(OR($A81="",$H81&lt;&gt;""),"",Targets!$C$8-$I81)</f>
        <v>11</v>
      </c>
      <c r="N81" s="66" t="str">
        <f aca="false">IF($A81="","",IF(AND($F81="Project",$E81="Active",$M81&lt;&gt;"",$M81&gt;Targets!$C$12),"Yes","No"))</f>
        <v>No</v>
      </c>
      <c r="O81" s="66" t="str">
        <f aca="false">IF($A81="","",IF(AND($G81&gt;=Targets!$C$7,$G81&lt;=Targets!$C$8),"Yes","No"))</f>
        <v>No</v>
      </c>
      <c r="P81" s="66" t="str">
        <f aca="false">IF($A81="","",IF(AND($H81&lt;&gt;"",$H81&gt;=Targets!$C$7,$H81&lt;=Targets!$C$8),"Yes","No"))</f>
        <v>No</v>
      </c>
      <c r="Q81" s="66" t="str">
        <f aca="false">IF($A81="","",IF(AND($F81="Project",$E81&lt;&gt;"Closed",$E81&lt;&gt;"Dormant"),"Yes","No"))</f>
        <v>Yes</v>
      </c>
      <c r="R81" s="66" t="str">
        <f aca="false">IF($A81="","",IF(AND($L81="In-house",OR($E81="Intake",$E81="Active",$E81="Waiting")),"Yes","No"))</f>
        <v>Yes</v>
      </c>
      <c r="S81" s="66" t="str">
        <f aca="false">IF($A81="","",$C81&amp;" | "&amp;$D81)</f>
        <v>Employment | Investigation underway</v>
      </c>
      <c r="T81" s="66" t="str">
        <f aca="false">IF($A81="","",IF(AND($L81="Outside provider",OR($E81="Intake",$E81="Active",$E81="Waiting")),"Yes","No"))</f>
        <v>No</v>
      </c>
    </row>
    <row r="82" customFormat="false" ht="15" hidden="false" customHeight="true" outlineLevel="0" collapsed="false">
      <c r="A82" s="63" t="s">
        <v>621</v>
      </c>
      <c r="B82" s="63" t="s">
        <v>622</v>
      </c>
      <c r="C82" s="63" t="s">
        <v>465</v>
      </c>
      <c r="D82" s="63" t="s">
        <v>466</v>
      </c>
      <c r="E82" s="63" t="str">
        <f aca="false">IF($A82="","",IFERROR(INDEX('Status map'!$D$6:$D$64,MATCH($C82&amp;" | "&amp;$D82,'Status map'!$I$6:$I$64,0)),"Unmapped"))</f>
        <v>Closed</v>
      </c>
      <c r="F82" s="63" t="s">
        <v>448</v>
      </c>
      <c r="G82" s="69" t="n">
        <v>45976</v>
      </c>
      <c r="H82" s="69" t="n">
        <v>46067</v>
      </c>
      <c r="I82" s="69" t="n">
        <v>46067</v>
      </c>
      <c r="J82" s="63" t="s">
        <v>449</v>
      </c>
      <c r="K82" s="63" t="s">
        <v>461</v>
      </c>
      <c r="L82" s="63" t="s">
        <v>451</v>
      </c>
      <c r="M82" s="66" t="str">
        <f aca="false">IF(OR($A82="",$H82&lt;&gt;""),"",Targets!$C$8-$I82)</f>
        <v/>
      </c>
      <c r="N82" s="66" t="str">
        <f aca="false">IF($A82="","",IF(AND($F82="Project",$E82="Active",$M82&lt;&gt;"",$M82&gt;Targets!$C$12),"Yes","No"))</f>
        <v>No</v>
      </c>
      <c r="O82" s="66" t="str">
        <f aca="false">IF($A82="","",IF(AND($G82&gt;=Targets!$C$7,$G82&lt;=Targets!$C$8),"Yes","No"))</f>
        <v>No</v>
      </c>
      <c r="P82" s="66" t="str">
        <f aca="false">IF($A82="","",IF(AND($H82&lt;&gt;"",$H82&gt;=Targets!$C$7,$H82&lt;=Targets!$C$8),"Yes","No"))</f>
        <v>No</v>
      </c>
      <c r="Q82" s="66" t="str">
        <f aca="false">IF($A82="","",IF(AND($F82="Project",$E82&lt;&gt;"Closed",$E82&lt;&gt;"Dormant"),"Yes","No"))</f>
        <v>No</v>
      </c>
      <c r="R82" s="66" t="str">
        <f aca="false">IF($A82="","",IF(AND($L82="In-house",OR($E82="Intake",$E82="Active",$E82="Waiting")),"Yes","No"))</f>
        <v>No</v>
      </c>
      <c r="S82" s="66" t="str">
        <f aca="false">IF($A82="","",$C82&amp;" | "&amp;$D82)</f>
        <v>Immigration and visas | Denied or withdrawn</v>
      </c>
      <c r="T82" s="66" t="str">
        <f aca="false">IF($A82="","",IF(AND($L82="Outside provider",OR($E82="Intake",$E82="Active",$E82="Waiting")),"Yes","No"))</f>
        <v>No</v>
      </c>
    </row>
    <row r="83" customFormat="false" ht="15" hidden="false" customHeight="true" outlineLevel="0" collapsed="false">
      <c r="A83" s="67" t="s">
        <v>623</v>
      </c>
      <c r="B83" s="67" t="s">
        <v>624</v>
      </c>
      <c r="C83" s="67" t="s">
        <v>465</v>
      </c>
      <c r="D83" s="67" t="s">
        <v>466</v>
      </c>
      <c r="E83" s="67" t="str">
        <f aca="false">IF($A83="","",IFERROR(INDEX('Status map'!$D$6:$D$64,MATCH($C83&amp;" | "&amp;$D83,'Status map'!$I$6:$I$64,0)),"Unmapped"))</f>
        <v>Closed</v>
      </c>
      <c r="F83" s="67" t="s">
        <v>448</v>
      </c>
      <c r="G83" s="70" t="n">
        <v>45919</v>
      </c>
      <c r="H83" s="70" t="n">
        <v>45959</v>
      </c>
      <c r="I83" s="70" t="n">
        <v>45959</v>
      </c>
      <c r="J83" s="67" t="s">
        <v>474</v>
      </c>
      <c r="K83" s="67" t="s">
        <v>462</v>
      </c>
      <c r="L83" s="67" t="s">
        <v>451</v>
      </c>
      <c r="M83" s="66" t="str">
        <f aca="false">IF(OR($A83="",$H83&lt;&gt;""),"",Targets!$C$8-$I83)</f>
        <v/>
      </c>
      <c r="N83" s="66" t="str">
        <f aca="false">IF($A83="","",IF(AND($F83="Project",$E83="Active",$M83&lt;&gt;"",$M83&gt;Targets!$C$12),"Yes","No"))</f>
        <v>No</v>
      </c>
      <c r="O83" s="66" t="str">
        <f aca="false">IF($A83="","",IF(AND($G83&gt;=Targets!$C$7,$G83&lt;=Targets!$C$8),"Yes","No"))</f>
        <v>No</v>
      </c>
      <c r="P83" s="66" t="str">
        <f aca="false">IF($A83="","",IF(AND($H83&lt;&gt;"",$H83&gt;=Targets!$C$7,$H83&lt;=Targets!$C$8),"Yes","No"))</f>
        <v>No</v>
      </c>
      <c r="Q83" s="66" t="str">
        <f aca="false">IF($A83="","",IF(AND($F83="Project",$E83&lt;&gt;"Closed",$E83&lt;&gt;"Dormant"),"Yes","No"))</f>
        <v>No</v>
      </c>
      <c r="R83" s="66" t="str">
        <f aca="false">IF($A83="","",IF(AND($L83="In-house",OR($E83="Intake",$E83="Active",$E83="Waiting")),"Yes","No"))</f>
        <v>No</v>
      </c>
      <c r="S83" s="66" t="str">
        <f aca="false">IF($A83="","",$C83&amp;" | "&amp;$D83)</f>
        <v>Immigration and visas | Denied or withdrawn</v>
      </c>
      <c r="T83" s="66" t="str">
        <f aca="false">IF($A83="","",IF(AND($L83="Outside provider",OR($E83="Intake",$E83="Active",$E83="Waiting")),"Yes","No"))</f>
        <v>No</v>
      </c>
    </row>
    <row r="84" customFormat="false" ht="15" hidden="false" customHeight="true" outlineLevel="0" collapsed="false">
      <c r="A84" s="63" t="s">
        <v>625</v>
      </c>
      <c r="B84" s="63" t="s">
        <v>626</v>
      </c>
      <c r="C84" s="63" t="s">
        <v>446</v>
      </c>
      <c r="D84" s="63" t="s">
        <v>473</v>
      </c>
      <c r="E84" s="63" t="str">
        <f aca="false">IF($A84="","",IFERROR(INDEX('Status map'!$D$6:$D$64,MATCH($C84&amp;" | "&amp;$D84,'Status map'!$I$6:$I$64,0)),"Unmapped"))</f>
        <v>Closed</v>
      </c>
      <c r="F84" s="63" t="s">
        <v>482</v>
      </c>
      <c r="G84" s="69" t="n">
        <v>46181</v>
      </c>
      <c r="H84" s="69" t="n">
        <v>46241</v>
      </c>
      <c r="I84" s="69" t="n">
        <v>46241</v>
      </c>
      <c r="J84" s="63" t="s">
        <v>461</v>
      </c>
      <c r="K84" s="63" t="s">
        <v>538</v>
      </c>
      <c r="L84" s="63" t="s">
        <v>496</v>
      </c>
      <c r="M84" s="66" t="str">
        <f aca="false">IF(OR($A84="",$H84&lt;&gt;""),"",Targets!$C$8-$I84)</f>
        <v/>
      </c>
      <c r="N84" s="66" t="str">
        <f aca="false">IF($A84="","",IF(AND($F84="Project",$E84="Active",$M84&lt;&gt;"",$M84&gt;Targets!$C$12),"Yes","No"))</f>
        <v>No</v>
      </c>
      <c r="O84" s="66" t="str">
        <f aca="false">IF($A84="","",IF(AND($G84&gt;=Targets!$C$7,$G84&lt;=Targets!$C$8),"Yes","No"))</f>
        <v>No</v>
      </c>
      <c r="P84" s="66" t="str">
        <f aca="false">IF($A84="","",IF(AND($H84&lt;&gt;"",$H84&gt;=Targets!$C$7,$H84&lt;=Targets!$C$8),"Yes","No"))</f>
        <v>Yes</v>
      </c>
      <c r="Q84" s="66" t="str">
        <f aca="false">IF($A84="","",IF(AND($F84="Project",$E84&lt;&gt;"Closed",$E84&lt;&gt;"Dormant"),"Yes","No"))</f>
        <v>No</v>
      </c>
      <c r="R84" s="66" t="str">
        <f aca="false">IF($A84="","",IF(AND($L84="In-house",OR($E84="Intake",$E84="Active",$E84="Waiting")),"Yes","No"))</f>
        <v>No</v>
      </c>
      <c r="S84" s="66" t="str">
        <f aca="false">IF($A84="","",$C84&amp;" | "&amp;$D84)</f>
        <v>Employment | Resolved or closed</v>
      </c>
      <c r="T84" s="66" t="str">
        <f aca="false">IF($A84="","",IF(AND($L84="Outside provider",OR($E84="Intake",$E84="Active",$E84="Waiting")),"Yes","No"))</f>
        <v>No</v>
      </c>
    </row>
    <row r="85" customFormat="false" ht="15" hidden="false" customHeight="true" outlineLevel="0" collapsed="false">
      <c r="A85" s="67" t="s">
        <v>333</v>
      </c>
      <c r="B85" s="67" t="s">
        <v>544</v>
      </c>
      <c r="C85" s="67" t="s">
        <v>446</v>
      </c>
      <c r="D85" s="67" t="s">
        <v>545</v>
      </c>
      <c r="E85" s="67" t="str">
        <f aca="false">IF($A85="","",IFERROR(INDEX('Status map'!$D$6:$D$64,MATCH($C85&amp;" | "&amp;$D85,'Status map'!$I$6:$I$64,0)),"Unmapped"))</f>
        <v>Active</v>
      </c>
      <c r="F85" s="67" t="s">
        <v>448</v>
      </c>
      <c r="G85" s="70" t="n">
        <v>46248</v>
      </c>
      <c r="H85" s="70"/>
      <c r="I85" s="70" t="n">
        <v>46261</v>
      </c>
      <c r="J85" s="67" t="s">
        <v>462</v>
      </c>
      <c r="K85" s="67" t="s">
        <v>462</v>
      </c>
      <c r="L85" s="67" t="s">
        <v>451</v>
      </c>
      <c r="M85" s="66" t="n">
        <f aca="false">IF(OR($A85="",$H85&lt;&gt;""),"",Targets!$C$8-$I85)</f>
        <v>4</v>
      </c>
      <c r="N85" s="66" t="str">
        <f aca="false">IF($A85="","",IF(AND($F85="Project",$E85="Active",$M85&lt;&gt;"",$M85&gt;Targets!$C$12),"Yes","No"))</f>
        <v>No</v>
      </c>
      <c r="O85" s="66" t="str">
        <f aca="false">IF($A85="","",IF(AND($G85&gt;=Targets!$C$7,$G85&lt;=Targets!$C$8),"Yes","No"))</f>
        <v>Yes</v>
      </c>
      <c r="P85" s="66" t="str">
        <f aca="false">IF($A85="","",IF(AND($H85&lt;&gt;"",$H85&gt;=Targets!$C$7,$H85&lt;=Targets!$C$8),"Yes","No"))</f>
        <v>No</v>
      </c>
      <c r="Q85" s="66" t="str">
        <f aca="false">IF($A85="","",IF(AND($F85="Project",$E85&lt;&gt;"Closed",$E85&lt;&gt;"Dormant"),"Yes","No"))</f>
        <v>Yes</v>
      </c>
      <c r="R85" s="66" t="str">
        <f aca="false">IF($A85="","",IF(AND($L85="In-house",OR($E85="Intake",$E85="Active",$E85="Waiting")),"Yes","No"))</f>
        <v>Yes</v>
      </c>
      <c r="S85" s="66" t="str">
        <f aca="false">IF($A85="","",$C85&amp;" | "&amp;$D85)</f>
        <v>Employment | Investigation underway</v>
      </c>
      <c r="T85" s="66" t="str">
        <f aca="false">IF($A85="","",IF(AND($L85="Outside provider",OR($E85="Intake",$E85="Active",$E85="Waiting")),"Yes","No"))</f>
        <v>No</v>
      </c>
    </row>
    <row r="86" customFormat="false" ht="15" hidden="false" customHeight="true" outlineLevel="0" collapsed="false">
      <c r="A86" s="63" t="s">
        <v>627</v>
      </c>
      <c r="B86" s="63" t="s">
        <v>628</v>
      </c>
      <c r="C86" s="63" t="s">
        <v>465</v>
      </c>
      <c r="D86" s="63" t="s">
        <v>506</v>
      </c>
      <c r="E86" s="63" t="str">
        <f aca="false">IF($A86="","",IFERROR(INDEX('Status map'!$D$6:$D$64,MATCH($C86&amp;" | "&amp;$D86,'Status map'!$I$6:$I$64,0)),"Unmapped"))</f>
        <v>Intake</v>
      </c>
      <c r="F86" s="63" t="s">
        <v>448</v>
      </c>
      <c r="G86" s="69" t="n">
        <v>46221</v>
      </c>
      <c r="H86" s="69"/>
      <c r="I86" s="69" t="n">
        <v>46242</v>
      </c>
      <c r="J86" s="63" t="s">
        <v>470</v>
      </c>
      <c r="K86" s="63" t="s">
        <v>470</v>
      </c>
      <c r="L86" s="63" t="s">
        <v>451</v>
      </c>
      <c r="M86" s="66" t="n">
        <f aca="false">IF(OR($A86="",$H86&lt;&gt;""),"",Targets!$C$8-$I86)</f>
        <v>23</v>
      </c>
      <c r="N86" s="66" t="str">
        <f aca="false">IF($A86="","",IF(AND($F86="Project",$E86="Active",$M86&lt;&gt;"",$M86&gt;Targets!$C$12),"Yes","No"))</f>
        <v>No</v>
      </c>
      <c r="O86" s="66" t="str">
        <f aca="false">IF($A86="","",IF(AND($G86&gt;=Targets!$C$7,$G86&lt;=Targets!$C$8),"Yes","No"))</f>
        <v>No</v>
      </c>
      <c r="P86" s="66" t="str">
        <f aca="false">IF($A86="","",IF(AND($H86&lt;&gt;"",$H86&gt;=Targets!$C$7,$H86&lt;=Targets!$C$8),"Yes","No"))</f>
        <v>No</v>
      </c>
      <c r="Q86" s="66" t="str">
        <f aca="false">IF($A86="","",IF(AND($F86="Project",$E86&lt;&gt;"Closed",$E86&lt;&gt;"Dormant"),"Yes","No"))</f>
        <v>Yes</v>
      </c>
      <c r="R86" s="66" t="str">
        <f aca="false">IF($A86="","",IF(AND($L86="In-house",OR($E86="Intake",$E86="Active",$E86="Waiting")),"Yes","No"))</f>
        <v>Yes</v>
      </c>
      <c r="S86" s="66" t="str">
        <f aca="false">IF($A86="","",$C86&amp;" | "&amp;$D86)</f>
        <v>Immigration and visas | Case opened, gathering documents</v>
      </c>
      <c r="T86" s="66" t="str">
        <f aca="false">IF($A86="","",IF(AND($L86="Outside provider",OR($E86="Intake",$E86="Active",$E86="Waiting")),"Yes","No"))</f>
        <v>No</v>
      </c>
    </row>
    <row r="87" customFormat="false" ht="15" hidden="false" customHeight="true" outlineLevel="0" collapsed="false">
      <c r="A87" s="67" t="s">
        <v>629</v>
      </c>
      <c r="B87" s="67" t="s">
        <v>630</v>
      </c>
      <c r="C87" s="67" t="s">
        <v>454</v>
      </c>
      <c r="D87" s="67" t="s">
        <v>455</v>
      </c>
      <c r="E87" s="67" t="str">
        <f aca="false">IF($A87="","",IFERROR(INDEX('Status map'!$D$6:$D$64,MATCH($C87&amp;" | "&amp;$D87,'Status map'!$I$6:$I$64,0)),"Unmapped"))</f>
        <v>Closed</v>
      </c>
      <c r="F87" s="67" t="s">
        <v>448</v>
      </c>
      <c r="G87" s="70" t="n">
        <v>46015</v>
      </c>
      <c r="H87" s="70" t="n">
        <v>46257</v>
      </c>
      <c r="I87" s="70" t="n">
        <v>46257</v>
      </c>
      <c r="J87" s="67" t="s">
        <v>462</v>
      </c>
      <c r="K87" s="67" t="s">
        <v>538</v>
      </c>
      <c r="L87" s="67" t="s">
        <v>496</v>
      </c>
      <c r="M87" s="66" t="str">
        <f aca="false">IF(OR($A87="",$H87&lt;&gt;""),"",Targets!$C$8-$I87)</f>
        <v/>
      </c>
      <c r="N87" s="66" t="str">
        <f aca="false">IF($A87="","",IF(AND($F87="Project",$E87="Active",$M87&lt;&gt;"",$M87&gt;Targets!$C$12),"Yes","No"))</f>
        <v>No</v>
      </c>
      <c r="O87" s="66" t="str">
        <f aca="false">IF($A87="","",IF(AND($G87&gt;=Targets!$C$7,$G87&lt;=Targets!$C$8),"Yes","No"))</f>
        <v>No</v>
      </c>
      <c r="P87" s="66" t="str">
        <f aca="false">IF($A87="","",IF(AND($H87&lt;&gt;"",$H87&gt;=Targets!$C$7,$H87&lt;=Targets!$C$8),"Yes","No"))</f>
        <v>Yes</v>
      </c>
      <c r="Q87" s="66" t="str">
        <f aca="false">IF($A87="","",IF(AND($F87="Project",$E87&lt;&gt;"Closed",$E87&lt;&gt;"Dormant"),"Yes","No"))</f>
        <v>No</v>
      </c>
      <c r="R87" s="66" t="str">
        <f aca="false">IF($A87="","",IF(AND($L87="In-house",OR($E87="Intake",$E87="Active",$E87="Waiting")),"Yes","No"))</f>
        <v>No</v>
      </c>
      <c r="S87" s="66" t="str">
        <f aca="false">IF($A87="","",$C87&amp;" | "&amp;$D87)</f>
        <v>Litigation | Settled, dismissed, or judgment entered</v>
      </c>
      <c r="T87" s="66" t="str">
        <f aca="false">IF($A87="","",IF(AND($L87="Outside provider",OR($E87="Intake",$E87="Active",$E87="Waiting")),"Yes","No"))</f>
        <v>No</v>
      </c>
    </row>
    <row r="88" customFormat="false" ht="15" hidden="false" customHeight="true" outlineLevel="0" collapsed="false">
      <c r="A88" s="63" t="s">
        <v>417</v>
      </c>
      <c r="B88" s="63" t="s">
        <v>631</v>
      </c>
      <c r="C88" s="63" t="s">
        <v>454</v>
      </c>
      <c r="D88" s="63" t="s">
        <v>514</v>
      </c>
      <c r="E88" s="63" t="str">
        <f aca="false">IF($A88="","",IFERROR(INDEX('Status map'!$D$6:$D$64,MATCH($C88&amp;" | "&amp;$D88,'Status map'!$I$6:$I$64,0)),"Unmapped"))</f>
        <v>Active</v>
      </c>
      <c r="F88" s="63" t="s">
        <v>448</v>
      </c>
      <c r="G88" s="69" t="n">
        <v>46253</v>
      </c>
      <c r="H88" s="69"/>
      <c r="I88" s="69" t="n">
        <v>46229</v>
      </c>
      <c r="J88" s="63" t="s">
        <v>450</v>
      </c>
      <c r="K88" s="63" t="s">
        <v>450</v>
      </c>
      <c r="L88" s="63" t="s">
        <v>451</v>
      </c>
      <c r="M88" s="66" t="n">
        <f aca="false">IF(OR($A88="",$H88&lt;&gt;""),"",Targets!$C$8-$I88)</f>
        <v>36</v>
      </c>
      <c r="N88" s="66" t="str">
        <f aca="false">IF($A88="","",IF(AND($F88="Project",$E88="Active",$M88&lt;&gt;"",$M88&gt;Targets!$C$12),"Yes","No"))</f>
        <v>Yes</v>
      </c>
      <c r="O88" s="66" t="str">
        <f aca="false">IF($A88="","",IF(AND($G88&gt;=Targets!$C$7,$G88&lt;=Targets!$C$8),"Yes","No"))</f>
        <v>Yes</v>
      </c>
      <c r="P88" s="66" t="str">
        <f aca="false">IF($A88="","",IF(AND($H88&lt;&gt;"",$H88&gt;=Targets!$C$7,$H88&lt;=Targets!$C$8),"Yes","No"))</f>
        <v>No</v>
      </c>
      <c r="Q88" s="66" t="str">
        <f aca="false">IF($A88="","",IF(AND($F88="Project",$E88&lt;&gt;"Closed",$E88&lt;&gt;"Dormant"),"Yes","No"))</f>
        <v>Yes</v>
      </c>
      <c r="R88" s="66" t="str">
        <f aca="false">IF($A88="","",IF(AND($L88="In-house",OR($E88="Intake",$E88="Active",$E88="Waiting")),"Yes","No"))</f>
        <v>Yes</v>
      </c>
      <c r="S88" s="66" t="str">
        <f aca="false">IF($A88="","",$C88&amp;" | "&amp;$D88)</f>
        <v>Litigation | Active discovery, motions, or trial prep</v>
      </c>
      <c r="T88" s="66" t="str">
        <f aca="false">IF($A88="","",IF(AND($L88="Outside provider",OR($E88="Intake",$E88="Active",$E88="Waiting")),"Yes","No"))</f>
        <v>No</v>
      </c>
    </row>
    <row r="89" customFormat="false" ht="15" hidden="false" customHeight="true" outlineLevel="0" collapsed="false">
      <c r="A89" s="67" t="s">
        <v>632</v>
      </c>
      <c r="B89" s="67" t="s">
        <v>633</v>
      </c>
      <c r="C89" s="67" t="s">
        <v>446</v>
      </c>
      <c r="D89" s="67" t="s">
        <v>545</v>
      </c>
      <c r="E89" s="67" t="str">
        <f aca="false">IF($A89="","",IFERROR(INDEX('Status map'!$D$6:$D$64,MATCH($C89&amp;" | "&amp;$D89,'Status map'!$I$6:$I$64,0)),"Unmapped"))</f>
        <v>Active</v>
      </c>
      <c r="F89" s="67" t="s">
        <v>448</v>
      </c>
      <c r="G89" s="70" t="n">
        <v>46078</v>
      </c>
      <c r="H89" s="70"/>
      <c r="I89" s="70" t="n">
        <v>46246</v>
      </c>
      <c r="J89" s="67" t="s">
        <v>462</v>
      </c>
      <c r="K89" s="67" t="s">
        <v>462</v>
      </c>
      <c r="L89" s="67" t="s">
        <v>451</v>
      </c>
      <c r="M89" s="66" t="n">
        <f aca="false">IF(OR($A89="",$H89&lt;&gt;""),"",Targets!$C$8-$I89)</f>
        <v>19</v>
      </c>
      <c r="N89" s="66" t="str">
        <f aca="false">IF($A89="","",IF(AND($F89="Project",$E89="Active",$M89&lt;&gt;"",$M89&gt;Targets!$C$12),"Yes","No"))</f>
        <v>No</v>
      </c>
      <c r="O89" s="66" t="str">
        <f aca="false">IF($A89="","",IF(AND($G89&gt;=Targets!$C$7,$G89&lt;=Targets!$C$8),"Yes","No"))</f>
        <v>No</v>
      </c>
      <c r="P89" s="66" t="str">
        <f aca="false">IF($A89="","",IF(AND($H89&lt;&gt;"",$H89&gt;=Targets!$C$7,$H89&lt;=Targets!$C$8),"Yes","No"))</f>
        <v>No</v>
      </c>
      <c r="Q89" s="66" t="str">
        <f aca="false">IF($A89="","",IF(AND($F89="Project",$E89&lt;&gt;"Closed",$E89&lt;&gt;"Dormant"),"Yes","No"))</f>
        <v>Yes</v>
      </c>
      <c r="R89" s="66" t="str">
        <f aca="false">IF($A89="","",IF(AND($L89="In-house",OR($E89="Intake",$E89="Active",$E89="Waiting")),"Yes","No"))</f>
        <v>Yes</v>
      </c>
      <c r="S89" s="66" t="str">
        <f aca="false">IF($A89="","",$C89&amp;" | "&amp;$D89)</f>
        <v>Employment | Investigation underway</v>
      </c>
      <c r="T89" s="66" t="str">
        <f aca="false">IF($A89="","",IF(AND($L89="Outside provider",OR($E89="Intake",$E89="Active",$E89="Waiting")),"Yes","No"))</f>
        <v>No</v>
      </c>
    </row>
    <row r="90" customFormat="false" ht="15" hidden="false" customHeight="true" outlineLevel="0" collapsed="false">
      <c r="A90" s="63" t="s">
        <v>634</v>
      </c>
      <c r="B90" s="63" t="s">
        <v>635</v>
      </c>
      <c r="C90" s="63" t="s">
        <v>487</v>
      </c>
      <c r="D90" s="63" t="s">
        <v>636</v>
      </c>
      <c r="E90" s="63" t="str">
        <f aca="false">IF($A90="","",IFERROR(INDEX('Status map'!$D$6:$D$64,MATCH($C90&amp;" | "&amp;$D90,'Status map'!$I$6:$I$64,0)),"Unmapped"))</f>
        <v>Active</v>
      </c>
      <c r="F90" s="63" t="s">
        <v>482</v>
      </c>
      <c r="G90" s="69" t="n">
        <v>46099</v>
      </c>
      <c r="H90" s="69"/>
      <c r="I90" s="69" t="n">
        <v>46251</v>
      </c>
      <c r="J90" s="63" t="s">
        <v>492</v>
      </c>
      <c r="K90" s="63" t="s">
        <v>461</v>
      </c>
      <c r="L90" s="63" t="s">
        <v>451</v>
      </c>
      <c r="M90" s="66" t="n">
        <f aca="false">IF(OR($A90="",$H90&lt;&gt;""),"",Targets!$C$8-$I90)</f>
        <v>14</v>
      </c>
      <c r="N90" s="66" t="str">
        <f aca="false">IF($A90="","",IF(AND($F90="Project",$E90="Active",$M90&lt;&gt;"",$M90&gt;Targets!$C$12),"Yes","No"))</f>
        <v>No</v>
      </c>
      <c r="O90" s="66" t="str">
        <f aca="false">IF($A90="","",IF(AND($G90&gt;=Targets!$C$7,$G90&lt;=Targets!$C$8),"Yes","No"))</f>
        <v>No</v>
      </c>
      <c r="P90" s="66" t="str">
        <f aca="false">IF($A90="","",IF(AND($H90&lt;&gt;"",$H90&gt;=Targets!$C$7,$H90&lt;=Targets!$C$8),"Yes","No"))</f>
        <v>No</v>
      </c>
      <c r="Q90" s="66" t="str">
        <f aca="false">IF($A90="","",IF(AND($F90="Project",$E90&lt;&gt;"Closed",$E90&lt;&gt;"Dormant"),"Yes","No"))</f>
        <v>No</v>
      </c>
      <c r="R90" s="66" t="str">
        <f aca="false">IF($A90="","",IF(AND($L90="In-house",OR($E90="Intake",$E90="Active",$E90="Waiting")),"Yes","No"))</f>
        <v>Yes</v>
      </c>
      <c r="S90" s="66" t="str">
        <f aca="false">IF($A90="","",$C90&amp;" | "&amp;$D90)</f>
        <v>Corporate and entity management | Formation, change, or dissolution in progress</v>
      </c>
      <c r="T90" s="66" t="str">
        <f aca="false">IF($A90="","",IF(AND($L90="Outside provider",OR($E90="Intake",$E90="Active",$E90="Waiting")),"Yes","No"))</f>
        <v>No</v>
      </c>
    </row>
    <row r="91" customFormat="false" ht="15" hidden="false" customHeight="true" outlineLevel="0" collapsed="false">
      <c r="A91" s="67" t="s">
        <v>637</v>
      </c>
      <c r="B91" s="67" t="s">
        <v>638</v>
      </c>
      <c r="C91" s="67" t="s">
        <v>487</v>
      </c>
      <c r="D91" s="67" t="s">
        <v>601</v>
      </c>
      <c r="E91" s="67" t="str">
        <f aca="false">IF($A91="","",IFERROR(INDEX('Status map'!$D$6:$D$64,MATCH($C91&amp;" | "&amp;$D91,'Status map'!$I$6:$I$64,0)),"Unmapped"))</f>
        <v>Closed</v>
      </c>
      <c r="F91" s="67" t="s">
        <v>482</v>
      </c>
      <c r="G91" s="70" t="n">
        <v>46041</v>
      </c>
      <c r="H91" s="70" t="n">
        <v>46261</v>
      </c>
      <c r="I91" s="70" t="n">
        <v>46261</v>
      </c>
      <c r="J91" s="67" t="s">
        <v>456</v>
      </c>
      <c r="K91" s="67" t="s">
        <v>470</v>
      </c>
      <c r="L91" s="67" t="s">
        <v>451</v>
      </c>
      <c r="M91" s="66" t="str">
        <f aca="false">IF(OR($A91="",$H91&lt;&gt;""),"",Targets!$C$8-$I91)</f>
        <v/>
      </c>
      <c r="N91" s="66" t="str">
        <f aca="false">IF($A91="","",IF(AND($F91="Project",$E91="Active",$M91&lt;&gt;"",$M91&gt;Targets!$C$12),"Yes","No"))</f>
        <v>No</v>
      </c>
      <c r="O91" s="66" t="str">
        <f aca="false">IF($A91="","",IF(AND($G91&gt;=Targets!$C$7,$G91&lt;=Targets!$C$8),"Yes","No"))</f>
        <v>No</v>
      </c>
      <c r="P91" s="66" t="str">
        <f aca="false">IF($A91="","",IF(AND($H91&lt;&gt;"",$H91&gt;=Targets!$C$7,$H91&lt;=Targets!$C$8),"Yes","No"))</f>
        <v>Yes</v>
      </c>
      <c r="Q91" s="66" t="str">
        <f aca="false">IF($A91="","",IF(AND($F91="Project",$E91&lt;&gt;"Closed",$E91&lt;&gt;"Dormant"),"Yes","No"))</f>
        <v>No</v>
      </c>
      <c r="R91" s="66" t="str">
        <f aca="false">IF($A91="","",IF(AND($L91="In-house",OR($E91="Intake",$E91="Active",$E91="Waiting")),"Yes","No"))</f>
        <v>No</v>
      </c>
      <c r="S91" s="66" t="str">
        <f aca="false">IF($A91="","",$C91&amp;" | "&amp;$D91)</f>
        <v>Corporate and entity management | Entity dissolved</v>
      </c>
      <c r="T91" s="66" t="str">
        <f aca="false">IF($A91="","",IF(AND($L91="Outside provider",OR($E91="Intake",$E91="Active",$E91="Waiting")),"Yes","No"))</f>
        <v>No</v>
      </c>
    </row>
    <row r="92" customFormat="false" ht="15" hidden="false" customHeight="true" outlineLevel="0" collapsed="false">
      <c r="A92" s="63" t="s">
        <v>639</v>
      </c>
      <c r="B92" s="63" t="s">
        <v>640</v>
      </c>
      <c r="C92" s="63" t="s">
        <v>446</v>
      </c>
      <c r="D92" s="63" t="s">
        <v>473</v>
      </c>
      <c r="E92" s="63" t="str">
        <f aca="false">IF($A92="","",IFERROR(INDEX('Status map'!$D$6:$D$64,MATCH($C92&amp;" | "&amp;$D92,'Status map'!$I$6:$I$64,0)),"Unmapped"))</f>
        <v>Closed</v>
      </c>
      <c r="F92" s="63" t="s">
        <v>482</v>
      </c>
      <c r="G92" s="69" t="n">
        <v>46052</v>
      </c>
      <c r="H92" s="69" t="n">
        <v>46241</v>
      </c>
      <c r="I92" s="69" t="n">
        <v>46241</v>
      </c>
      <c r="J92" s="63" t="s">
        <v>450</v>
      </c>
      <c r="K92" s="63" t="s">
        <v>492</v>
      </c>
      <c r="L92" s="63" t="s">
        <v>451</v>
      </c>
      <c r="M92" s="66" t="str">
        <f aca="false">IF(OR($A92="",$H92&lt;&gt;""),"",Targets!$C$8-$I92)</f>
        <v/>
      </c>
      <c r="N92" s="66" t="str">
        <f aca="false">IF($A92="","",IF(AND($F92="Project",$E92="Active",$M92&lt;&gt;"",$M92&gt;Targets!$C$12),"Yes","No"))</f>
        <v>No</v>
      </c>
      <c r="O92" s="66" t="str">
        <f aca="false">IF($A92="","",IF(AND($G92&gt;=Targets!$C$7,$G92&lt;=Targets!$C$8),"Yes","No"))</f>
        <v>No</v>
      </c>
      <c r="P92" s="66" t="str">
        <f aca="false">IF($A92="","",IF(AND($H92&lt;&gt;"",$H92&gt;=Targets!$C$7,$H92&lt;=Targets!$C$8),"Yes","No"))</f>
        <v>Yes</v>
      </c>
      <c r="Q92" s="66" t="str">
        <f aca="false">IF($A92="","",IF(AND($F92="Project",$E92&lt;&gt;"Closed",$E92&lt;&gt;"Dormant"),"Yes","No"))</f>
        <v>No</v>
      </c>
      <c r="R92" s="66" t="str">
        <f aca="false">IF($A92="","",IF(AND($L92="In-house",OR($E92="Intake",$E92="Active",$E92="Waiting")),"Yes","No"))</f>
        <v>No</v>
      </c>
      <c r="S92" s="66" t="str">
        <f aca="false">IF($A92="","",$C92&amp;" | "&amp;$D92)</f>
        <v>Employment | Resolved or closed</v>
      </c>
      <c r="T92" s="66" t="str">
        <f aca="false">IF($A92="","",IF(AND($L92="Outside provider",OR($E92="Intake",$E92="Active",$E92="Waiting")),"Yes","No"))</f>
        <v>No</v>
      </c>
    </row>
    <row r="93" customFormat="false" ht="15" hidden="false" customHeight="true" outlineLevel="0" collapsed="false">
      <c r="A93" s="67" t="s">
        <v>641</v>
      </c>
      <c r="B93" s="67" t="s">
        <v>642</v>
      </c>
      <c r="C93" s="67" t="s">
        <v>487</v>
      </c>
      <c r="D93" s="67" t="s">
        <v>548</v>
      </c>
      <c r="E93" s="67" t="str">
        <f aca="false">IF($A93="","",IFERROR(INDEX('Status map'!$D$6:$D$64,MATCH($C93&amp;" | "&amp;$D93,'Status map'!$I$6:$I$64,0)),"Unmapped"))</f>
        <v>Dormant</v>
      </c>
      <c r="F93" s="67" t="s">
        <v>510</v>
      </c>
      <c r="G93" s="70" t="n">
        <v>44999</v>
      </c>
      <c r="H93" s="70"/>
      <c r="I93" s="70" t="n">
        <v>46126</v>
      </c>
      <c r="J93" s="67" t="s">
        <v>449</v>
      </c>
      <c r="K93" s="67" t="s">
        <v>470</v>
      </c>
      <c r="L93" s="67" t="s">
        <v>451</v>
      </c>
      <c r="M93" s="66" t="n">
        <f aca="false">IF(OR($A93="",$H93&lt;&gt;""),"",Targets!$C$8-$I93)</f>
        <v>139</v>
      </c>
      <c r="N93" s="66" t="str">
        <f aca="false">IF($A93="","",IF(AND($F93="Project",$E93="Active",$M93&lt;&gt;"",$M93&gt;Targets!$C$12),"Yes","No"))</f>
        <v>No</v>
      </c>
      <c r="O93" s="66" t="str">
        <f aca="false">IF($A93="","",IF(AND($G93&gt;=Targets!$C$7,$G93&lt;=Targets!$C$8),"Yes","No"))</f>
        <v>No</v>
      </c>
      <c r="P93" s="66" t="str">
        <f aca="false">IF($A93="","",IF(AND($H93&lt;&gt;"",$H93&gt;=Targets!$C$7,$H93&lt;=Targets!$C$8),"Yes","No"))</f>
        <v>No</v>
      </c>
      <c r="Q93" s="66" t="str">
        <f aca="false">IF($A93="","",IF(AND($F93="Project",$E93&lt;&gt;"Closed",$E93&lt;&gt;"Dormant"),"Yes","No"))</f>
        <v>No</v>
      </c>
      <c r="R93" s="66" t="str">
        <f aca="false">IF($A93="","",IF(AND($L93="In-house",OR($E93="Intake",$E93="Active",$E93="Waiting")),"Yes","No"))</f>
        <v>No</v>
      </c>
      <c r="S93" s="66" t="str">
        <f aca="false">IF($A93="","",$C93&amp;" | "&amp;$D93)</f>
        <v>Corporate and entity management | Entity in good standing</v>
      </c>
      <c r="T93" s="66" t="str">
        <f aca="false">IF($A93="","",IF(AND($L93="Outside provider",OR($E93="Intake",$E93="Active",$E93="Waiting")),"Yes","No"))</f>
        <v>No</v>
      </c>
    </row>
    <row r="94" customFormat="false" ht="15" hidden="false" customHeight="true" outlineLevel="0" collapsed="false">
      <c r="A94" s="63" t="s">
        <v>643</v>
      </c>
      <c r="B94" s="63" t="s">
        <v>644</v>
      </c>
      <c r="C94" s="63" t="s">
        <v>501</v>
      </c>
      <c r="D94" s="63" t="s">
        <v>502</v>
      </c>
      <c r="E94" s="63" t="str">
        <f aca="false">IF($A94="","",IFERROR(INDEX('Status map'!$D$6:$D$64,MATCH($C94&amp;" | "&amp;$D94,'Status map'!$I$6:$I$64,0)),"Unmapped"))</f>
        <v>Closed</v>
      </c>
      <c r="F94" s="63" t="s">
        <v>448</v>
      </c>
      <c r="G94" s="69" t="n">
        <v>46000</v>
      </c>
      <c r="H94" s="69" t="n">
        <v>46122</v>
      </c>
      <c r="I94" s="69" t="n">
        <v>46122</v>
      </c>
      <c r="J94" s="63" t="s">
        <v>461</v>
      </c>
      <c r="K94" s="63" t="s">
        <v>470</v>
      </c>
      <c r="L94" s="63" t="s">
        <v>451</v>
      </c>
      <c r="M94" s="66" t="str">
        <f aca="false">IF(OR($A94="",$H94&lt;&gt;""),"",Targets!$C$8-$I94)</f>
        <v/>
      </c>
      <c r="N94" s="66" t="str">
        <f aca="false">IF($A94="","",IF(AND($F94="Project",$E94="Active",$M94&lt;&gt;"",$M94&gt;Targets!$C$12),"Yes","No"))</f>
        <v>No</v>
      </c>
      <c r="O94" s="66" t="str">
        <f aca="false">IF($A94="","",IF(AND($G94&gt;=Targets!$C$7,$G94&lt;=Targets!$C$8),"Yes","No"))</f>
        <v>No</v>
      </c>
      <c r="P94" s="66" t="str">
        <f aca="false">IF($A94="","",IF(AND($H94&lt;&gt;"",$H94&gt;=Targets!$C$7,$H94&lt;=Targets!$C$8),"Yes","No"))</f>
        <v>No</v>
      </c>
      <c r="Q94" s="66" t="str">
        <f aca="false">IF($A94="","",IF(AND($F94="Project",$E94&lt;&gt;"Closed",$E94&lt;&gt;"Dormant"),"Yes","No"))</f>
        <v>No</v>
      </c>
      <c r="R94" s="66" t="str">
        <f aca="false">IF($A94="","",IF(AND($L94="In-house",OR($E94="Intake",$E94="Active",$E94="Waiting")),"Yes","No"))</f>
        <v>No</v>
      </c>
      <c r="S94" s="66" t="str">
        <f aca="false">IF($A94="","",$C94&amp;" | "&amp;$D94)</f>
        <v>M&amp;A and corporate deals | Deal closed</v>
      </c>
      <c r="T94" s="66" t="str">
        <f aca="false">IF($A94="","",IF(AND($L94="Outside provider",OR($E94="Intake",$E94="Active",$E94="Waiting")),"Yes","No"))</f>
        <v>No</v>
      </c>
    </row>
    <row r="95" customFormat="false" ht="15" hidden="false" customHeight="true" outlineLevel="0" collapsed="false">
      <c r="A95" s="67" t="s">
        <v>645</v>
      </c>
      <c r="B95" s="67" t="s">
        <v>646</v>
      </c>
      <c r="C95" s="67" t="s">
        <v>647</v>
      </c>
      <c r="D95" s="67" t="s">
        <v>648</v>
      </c>
      <c r="E95" s="67" t="str">
        <f aca="false">IF($A95="","",IFERROR(INDEX('Status map'!$D$6:$D$64,MATCH($C95&amp;" | "&amp;$D95,'Status map'!$I$6:$I$64,0)),"Unmapped"))</f>
        <v>Dormant</v>
      </c>
      <c r="F95" s="67" t="s">
        <v>510</v>
      </c>
      <c r="G95" s="70" t="n">
        <v>45189</v>
      </c>
      <c r="H95" s="70"/>
      <c r="I95" s="70" t="n">
        <v>46129</v>
      </c>
      <c r="J95" s="67" t="s">
        <v>461</v>
      </c>
      <c r="K95" s="67" t="s">
        <v>449</v>
      </c>
      <c r="L95" s="67" t="s">
        <v>451</v>
      </c>
      <c r="M95" s="66" t="n">
        <f aca="false">IF(OR($A95="",$H95&lt;&gt;""),"",Targets!$C$8-$I95)</f>
        <v>136</v>
      </c>
      <c r="N95" s="66" t="str">
        <f aca="false">IF($A95="","",IF(AND($F95="Project",$E95="Active",$M95&lt;&gt;"",$M95&gt;Targets!$C$12),"Yes","No"))</f>
        <v>No</v>
      </c>
      <c r="O95" s="66" t="str">
        <f aca="false">IF($A95="","",IF(AND($G95&gt;=Targets!$C$7,$G95&lt;=Targets!$C$8),"Yes","No"))</f>
        <v>No</v>
      </c>
      <c r="P95" s="66" t="str">
        <f aca="false">IF($A95="","",IF(AND($H95&lt;&gt;"",$H95&gt;=Targets!$C$7,$H95&lt;=Targets!$C$8),"Yes","No"))</f>
        <v>No</v>
      </c>
      <c r="Q95" s="66" t="str">
        <f aca="false">IF($A95="","",IF(AND($F95="Project",$E95&lt;&gt;"Closed",$E95&lt;&gt;"Dormant"),"Yes","No"))</f>
        <v>No</v>
      </c>
      <c r="R95" s="66" t="str">
        <f aca="false">IF($A95="","",IF(AND($L95="In-house",OR($E95="Intake",$E95="Active",$E95="Waiting")),"Yes","No"))</f>
        <v>No</v>
      </c>
      <c r="S95" s="66" t="str">
        <f aca="false">IF($A95="","",$C95&amp;" | "&amp;$D95)</f>
        <v>IP: patents and trademarks | Issued or registered, in maintenance</v>
      </c>
      <c r="T95" s="66" t="str">
        <f aca="false">IF($A95="","",IF(AND($L95="Outside provider",OR($E95="Intake",$E95="Active",$E95="Waiting")),"Yes","No"))</f>
        <v>No</v>
      </c>
    </row>
    <row r="96" customFormat="false" ht="15" hidden="false" customHeight="true" outlineLevel="0" collapsed="false">
      <c r="A96" s="63" t="s">
        <v>314</v>
      </c>
      <c r="B96" s="63" t="s">
        <v>649</v>
      </c>
      <c r="C96" s="63" t="s">
        <v>454</v>
      </c>
      <c r="D96" s="63" t="s">
        <v>514</v>
      </c>
      <c r="E96" s="63" t="str">
        <f aca="false">IF($A96="","",IFERROR(INDEX('Status map'!$D$6:$D$64,MATCH($C96&amp;" | "&amp;$D96,'Status map'!$I$6:$I$64,0)),"Unmapped"))</f>
        <v>Active</v>
      </c>
      <c r="F96" s="63" t="s">
        <v>448</v>
      </c>
      <c r="G96" s="69" t="n">
        <v>46257</v>
      </c>
      <c r="H96" s="69"/>
      <c r="I96" s="69" t="n">
        <v>46246</v>
      </c>
      <c r="J96" s="63" t="s">
        <v>449</v>
      </c>
      <c r="K96" s="63" t="s">
        <v>495</v>
      </c>
      <c r="L96" s="63" t="s">
        <v>496</v>
      </c>
      <c r="M96" s="66" t="n">
        <f aca="false">IF(OR($A96="",$H96&lt;&gt;""),"",Targets!$C$8-$I96)</f>
        <v>19</v>
      </c>
      <c r="N96" s="66" t="str">
        <f aca="false">IF($A96="","",IF(AND($F96="Project",$E96="Active",$M96&lt;&gt;"",$M96&gt;Targets!$C$12),"Yes","No"))</f>
        <v>No</v>
      </c>
      <c r="O96" s="66" t="str">
        <f aca="false">IF($A96="","",IF(AND($G96&gt;=Targets!$C$7,$G96&lt;=Targets!$C$8),"Yes","No"))</f>
        <v>Yes</v>
      </c>
      <c r="P96" s="66" t="str">
        <f aca="false">IF($A96="","",IF(AND($H96&lt;&gt;"",$H96&gt;=Targets!$C$7,$H96&lt;=Targets!$C$8),"Yes","No"))</f>
        <v>No</v>
      </c>
      <c r="Q96" s="66" t="str">
        <f aca="false">IF($A96="","",IF(AND($F96="Project",$E96&lt;&gt;"Closed",$E96&lt;&gt;"Dormant"),"Yes","No"))</f>
        <v>Yes</v>
      </c>
      <c r="R96" s="66" t="str">
        <f aca="false">IF($A96="","",IF(AND($L96="In-house",OR($E96="Intake",$E96="Active",$E96="Waiting")),"Yes","No"))</f>
        <v>No</v>
      </c>
      <c r="S96" s="66" t="str">
        <f aca="false">IF($A96="","",$C96&amp;" | "&amp;$D96)</f>
        <v>Litigation | Active discovery, motions, or trial prep</v>
      </c>
      <c r="T96" s="66" t="str">
        <f aca="false">IF($A96="","",IF(AND($L96="Outside provider",OR($E96="Intake",$E96="Active",$E96="Waiting")),"Yes","No"))</f>
        <v>Yes</v>
      </c>
    </row>
    <row r="97" customFormat="false" ht="15" hidden="false" customHeight="true" outlineLevel="0" collapsed="false">
      <c r="A97" s="67" t="s">
        <v>650</v>
      </c>
      <c r="B97" s="67" t="s">
        <v>651</v>
      </c>
      <c r="C97" s="67" t="s">
        <v>501</v>
      </c>
      <c r="D97" s="67" t="s">
        <v>502</v>
      </c>
      <c r="E97" s="67" t="str">
        <f aca="false">IF($A97="","",IFERROR(INDEX('Status map'!$D$6:$D$64,MATCH($C97&amp;" | "&amp;$D97,'Status map'!$I$6:$I$64,0)),"Unmapped"))</f>
        <v>Closed</v>
      </c>
      <c r="F97" s="67" t="s">
        <v>448</v>
      </c>
      <c r="G97" s="70" t="n">
        <v>46089</v>
      </c>
      <c r="H97" s="70" t="n">
        <v>46226</v>
      </c>
      <c r="I97" s="70" t="n">
        <v>46226</v>
      </c>
      <c r="J97" s="67" t="s">
        <v>449</v>
      </c>
      <c r="K97" s="67" t="s">
        <v>462</v>
      </c>
      <c r="L97" s="67" t="s">
        <v>451</v>
      </c>
      <c r="M97" s="66" t="str">
        <f aca="false">IF(OR($A97="",$H97&lt;&gt;""),"",Targets!$C$8-$I97)</f>
        <v/>
      </c>
      <c r="N97" s="66" t="str">
        <f aca="false">IF($A97="","",IF(AND($F97="Project",$E97="Active",$M97&lt;&gt;"",$M97&gt;Targets!$C$12),"Yes","No"))</f>
        <v>No</v>
      </c>
      <c r="O97" s="66" t="str">
        <f aca="false">IF($A97="","",IF(AND($G97&gt;=Targets!$C$7,$G97&lt;=Targets!$C$8),"Yes","No"))</f>
        <v>No</v>
      </c>
      <c r="P97" s="66" t="str">
        <f aca="false">IF($A97="","",IF(AND($H97&lt;&gt;"",$H97&gt;=Targets!$C$7,$H97&lt;=Targets!$C$8),"Yes","No"))</f>
        <v>No</v>
      </c>
      <c r="Q97" s="66" t="str">
        <f aca="false">IF($A97="","",IF(AND($F97="Project",$E97&lt;&gt;"Closed",$E97&lt;&gt;"Dormant"),"Yes","No"))</f>
        <v>No</v>
      </c>
      <c r="R97" s="66" t="str">
        <f aca="false">IF($A97="","",IF(AND($L97="In-house",OR($E97="Intake",$E97="Active",$E97="Waiting")),"Yes","No"))</f>
        <v>No</v>
      </c>
      <c r="S97" s="66" t="str">
        <f aca="false">IF($A97="","",$C97&amp;" | "&amp;$D97)</f>
        <v>M&amp;A and corporate deals | Deal closed</v>
      </c>
      <c r="T97" s="66" t="str">
        <f aca="false">IF($A97="","",IF(AND($L97="Outside provider",OR($E97="Intake",$E97="Active",$E97="Waiting")),"Yes","No"))</f>
        <v>No</v>
      </c>
    </row>
    <row r="98" customFormat="false" ht="15" hidden="false" customHeight="true" outlineLevel="0" collapsed="false">
      <c r="A98" s="63" t="s">
        <v>412</v>
      </c>
      <c r="B98" s="63" t="s">
        <v>652</v>
      </c>
      <c r="C98" s="63" t="s">
        <v>454</v>
      </c>
      <c r="D98" s="63" t="s">
        <v>514</v>
      </c>
      <c r="E98" s="63" t="str">
        <f aca="false">IF($A98="","",IFERROR(INDEX('Status map'!$D$6:$D$64,MATCH($C98&amp;" | "&amp;$D98,'Status map'!$I$6:$I$64,0)),"Unmapped"))</f>
        <v>Active</v>
      </c>
      <c r="F98" s="63" t="s">
        <v>448</v>
      </c>
      <c r="G98" s="69" t="n">
        <v>46251</v>
      </c>
      <c r="H98" s="69"/>
      <c r="I98" s="69" t="n">
        <v>46244</v>
      </c>
      <c r="J98" s="63" t="s">
        <v>456</v>
      </c>
      <c r="K98" s="63" t="s">
        <v>492</v>
      </c>
      <c r="L98" s="63" t="s">
        <v>451</v>
      </c>
      <c r="M98" s="66" t="n">
        <f aca="false">IF(OR($A98="",$H98&lt;&gt;""),"",Targets!$C$8-$I98)</f>
        <v>21</v>
      </c>
      <c r="N98" s="66" t="str">
        <f aca="false">IF($A98="","",IF(AND($F98="Project",$E98="Active",$M98&lt;&gt;"",$M98&gt;Targets!$C$12),"Yes","No"))</f>
        <v>No</v>
      </c>
      <c r="O98" s="66" t="str">
        <f aca="false">IF($A98="","",IF(AND($G98&gt;=Targets!$C$7,$G98&lt;=Targets!$C$8),"Yes","No"))</f>
        <v>Yes</v>
      </c>
      <c r="P98" s="66" t="str">
        <f aca="false">IF($A98="","",IF(AND($H98&lt;&gt;"",$H98&gt;=Targets!$C$7,$H98&lt;=Targets!$C$8),"Yes","No"))</f>
        <v>No</v>
      </c>
      <c r="Q98" s="66" t="str">
        <f aca="false">IF($A98="","",IF(AND($F98="Project",$E98&lt;&gt;"Closed",$E98&lt;&gt;"Dormant"),"Yes","No"))</f>
        <v>Yes</v>
      </c>
      <c r="R98" s="66" t="str">
        <f aca="false">IF($A98="","",IF(AND($L98="In-house",OR($E98="Intake",$E98="Active",$E98="Waiting")),"Yes","No"))</f>
        <v>Yes</v>
      </c>
      <c r="S98" s="66" t="str">
        <f aca="false">IF($A98="","",$C98&amp;" | "&amp;$D98)</f>
        <v>Litigation | Active discovery, motions, or trial prep</v>
      </c>
      <c r="T98" s="66" t="str">
        <f aca="false">IF($A98="","",IF(AND($L98="Outside provider",OR($E98="Intake",$E98="Active",$E98="Waiting")),"Yes","No"))</f>
        <v>No</v>
      </c>
    </row>
    <row r="99" customFormat="false" ht="15" hidden="false" customHeight="true" outlineLevel="0" collapsed="false">
      <c r="A99" s="67" t="s">
        <v>331</v>
      </c>
      <c r="B99" s="67" t="s">
        <v>653</v>
      </c>
      <c r="C99" s="67" t="s">
        <v>446</v>
      </c>
      <c r="D99" s="67" t="s">
        <v>545</v>
      </c>
      <c r="E99" s="67" t="str">
        <f aca="false">IF($A99="","",IFERROR(INDEX('Status map'!$D$6:$D$64,MATCH($C99&amp;" | "&amp;$D99,'Status map'!$I$6:$I$64,0)),"Unmapped"))</f>
        <v>Active</v>
      </c>
      <c r="F99" s="67" t="s">
        <v>448</v>
      </c>
      <c r="G99" s="70" t="n">
        <v>46238</v>
      </c>
      <c r="H99" s="70"/>
      <c r="I99" s="70" t="n">
        <v>46189</v>
      </c>
      <c r="J99" s="67" t="s">
        <v>462</v>
      </c>
      <c r="K99" s="67" t="s">
        <v>462</v>
      </c>
      <c r="L99" s="67" t="s">
        <v>451</v>
      </c>
      <c r="M99" s="66" t="n">
        <f aca="false">IF(OR($A99="",$H99&lt;&gt;""),"",Targets!$C$8-$I99)</f>
        <v>76</v>
      </c>
      <c r="N99" s="66" t="str">
        <f aca="false">IF($A99="","",IF(AND($F99="Project",$E99="Active",$M99&lt;&gt;"",$M99&gt;Targets!$C$12),"Yes","No"))</f>
        <v>Yes</v>
      </c>
      <c r="O99" s="66" t="str">
        <f aca="false">IF($A99="","",IF(AND($G99&gt;=Targets!$C$7,$G99&lt;=Targets!$C$8),"Yes","No"))</f>
        <v>Yes</v>
      </c>
      <c r="P99" s="66" t="str">
        <f aca="false">IF($A99="","",IF(AND($H99&lt;&gt;"",$H99&gt;=Targets!$C$7,$H99&lt;=Targets!$C$8),"Yes","No"))</f>
        <v>No</v>
      </c>
      <c r="Q99" s="66" t="str">
        <f aca="false">IF($A99="","",IF(AND($F99="Project",$E99&lt;&gt;"Closed",$E99&lt;&gt;"Dormant"),"Yes","No"))</f>
        <v>Yes</v>
      </c>
      <c r="R99" s="66" t="str">
        <f aca="false">IF($A99="","",IF(AND($L99="In-house",OR($E99="Intake",$E99="Active",$E99="Waiting")),"Yes","No"))</f>
        <v>Yes</v>
      </c>
      <c r="S99" s="66" t="str">
        <f aca="false">IF($A99="","",$C99&amp;" | "&amp;$D99)</f>
        <v>Employment | Investigation underway</v>
      </c>
      <c r="T99" s="66" t="str">
        <f aca="false">IF($A99="","",IF(AND($L99="Outside provider",OR($E99="Intake",$E99="Active",$E99="Waiting")),"Yes","No"))</f>
        <v>No</v>
      </c>
    </row>
    <row r="100" customFormat="false" ht="15" hidden="false" customHeight="true" outlineLevel="0" collapsed="false">
      <c r="A100" s="63" t="s">
        <v>654</v>
      </c>
      <c r="B100" s="63" t="s">
        <v>655</v>
      </c>
      <c r="C100" s="63" t="s">
        <v>459</v>
      </c>
      <c r="D100" s="63" t="s">
        <v>481</v>
      </c>
      <c r="E100" s="63" t="str">
        <f aca="false">IF($A100="","",IFERROR(INDEX('Status map'!$D$6:$D$64,MATCH($C100&amp;" | "&amp;$D100,'Status map'!$I$6:$I$64,0)),"Unmapped"))</f>
        <v>Closed</v>
      </c>
      <c r="F100" s="63" t="s">
        <v>448</v>
      </c>
      <c r="G100" s="69" t="n">
        <v>45879</v>
      </c>
      <c r="H100" s="69" t="n">
        <v>46079</v>
      </c>
      <c r="I100" s="69" t="n">
        <v>46079</v>
      </c>
      <c r="J100" s="63" t="s">
        <v>450</v>
      </c>
      <c r="K100" s="63" t="s">
        <v>450</v>
      </c>
      <c r="L100" s="63" t="s">
        <v>451</v>
      </c>
      <c r="M100" s="66" t="str">
        <f aca="false">IF(OR($A100="",$H100&lt;&gt;""),"",Targets!$C$8-$I100)</f>
        <v/>
      </c>
      <c r="N100" s="66" t="str">
        <f aca="false">IF($A100="","",IF(AND($F100="Project",$E100="Active",$M100&lt;&gt;"",$M100&gt;Targets!$C$12),"Yes","No"))</f>
        <v>No</v>
      </c>
      <c r="O100" s="66" t="str">
        <f aca="false">IF($A100="","",IF(AND($G100&gt;=Targets!$C$7,$G100&lt;=Targets!$C$8),"Yes","No"))</f>
        <v>No</v>
      </c>
      <c r="P100" s="66" t="str">
        <f aca="false">IF($A100="","",IF(AND($H100&lt;&gt;"",$H100&gt;=Targets!$C$7,$H100&lt;=Targets!$C$8),"Yes","No"))</f>
        <v>No</v>
      </c>
      <c r="Q100" s="66" t="str">
        <f aca="false">IF($A100="","",IF(AND($F100="Project",$E100&lt;&gt;"Closed",$E100&lt;&gt;"Dormant"),"Yes","No"))</f>
        <v>No</v>
      </c>
      <c r="R100" s="66" t="str">
        <f aca="false">IF($A100="","",IF(AND($L100="In-house",OR($E100="Intake",$E100="Active",$E100="Waiting")),"Yes","No"))</f>
        <v>No</v>
      </c>
      <c r="S100" s="66" t="str">
        <f aca="false">IF($A100="","",$C100&amp;" | "&amp;$D100)</f>
        <v>Contracts | Expired or terminated</v>
      </c>
      <c r="T100" s="66" t="str">
        <f aca="false">IF($A100="","",IF(AND($L100="Outside provider",OR($E100="Intake",$E100="Active",$E100="Waiting")),"Yes","No"))</f>
        <v>No</v>
      </c>
    </row>
    <row r="101" customFormat="false" ht="15" hidden="false" customHeight="true" outlineLevel="0" collapsed="false">
      <c r="A101" s="67" t="s">
        <v>405</v>
      </c>
      <c r="B101" s="67" t="s">
        <v>656</v>
      </c>
      <c r="C101" s="67" t="s">
        <v>454</v>
      </c>
      <c r="D101" s="67" t="s">
        <v>657</v>
      </c>
      <c r="E101" s="67" t="str">
        <f aca="false">IF($A101="","",IFERROR(INDEX('Status map'!$D$6:$D$64,MATCH($C101&amp;" | "&amp;$D101,'Status map'!$I$6:$I$64,0)),"Unmapped"))</f>
        <v>Waiting</v>
      </c>
      <c r="F101" s="67" t="s">
        <v>448</v>
      </c>
      <c r="G101" s="70" t="n">
        <v>46241</v>
      </c>
      <c r="H101" s="70"/>
      <c r="I101" s="70" t="n">
        <v>46239</v>
      </c>
      <c r="J101" s="67" t="s">
        <v>449</v>
      </c>
      <c r="K101" s="67" t="s">
        <v>492</v>
      </c>
      <c r="L101" s="67" t="s">
        <v>451</v>
      </c>
      <c r="M101" s="66" t="n">
        <f aca="false">IF(OR($A101="",$H101&lt;&gt;""),"",Targets!$C$8-$I101)</f>
        <v>26</v>
      </c>
      <c r="N101" s="66" t="str">
        <f aca="false">IF($A101="","",IF(AND($F101="Project",$E101="Active",$M101&lt;&gt;"",$M101&gt;Targets!$C$12),"Yes","No"))</f>
        <v>No</v>
      </c>
      <c r="O101" s="66" t="str">
        <f aca="false">IF($A101="","",IF(AND($G101&gt;=Targets!$C$7,$G101&lt;=Targets!$C$8),"Yes","No"))</f>
        <v>Yes</v>
      </c>
      <c r="P101" s="66" t="str">
        <f aca="false">IF($A101="","",IF(AND($H101&lt;&gt;"",$H101&gt;=Targets!$C$7,$H101&lt;=Targets!$C$8),"Yes","No"))</f>
        <v>No</v>
      </c>
      <c r="Q101" s="66" t="str">
        <f aca="false">IF($A101="","",IF(AND($F101="Project",$E101&lt;&gt;"Closed",$E101&lt;&gt;"Dormant"),"Yes","No"))</f>
        <v>Yes</v>
      </c>
      <c r="R101" s="66" t="str">
        <f aca="false">IF($A101="","",IF(AND($L101="In-house",OR($E101="Intake",$E101="Active",$E101="Waiting")),"Yes","No"))</f>
        <v>Yes</v>
      </c>
      <c r="S101" s="66" t="str">
        <f aca="false">IF($A101="","",$C101&amp;" | "&amp;$D101)</f>
        <v>Litigation | Awaiting a ruling, a hearing date, or the other side</v>
      </c>
      <c r="T101" s="66" t="str">
        <f aca="false">IF($A101="","",IF(AND($L101="Outside provider",OR($E101="Intake",$E101="Active",$E101="Waiting")),"Yes","No"))</f>
        <v>No</v>
      </c>
    </row>
    <row r="102" customFormat="false" ht="15" hidden="false" customHeight="true" outlineLevel="0" collapsed="false">
      <c r="A102" s="63" t="s">
        <v>395</v>
      </c>
      <c r="B102" s="63" t="s">
        <v>658</v>
      </c>
      <c r="C102" s="63" t="s">
        <v>446</v>
      </c>
      <c r="D102" s="63" t="s">
        <v>545</v>
      </c>
      <c r="E102" s="63" t="str">
        <f aca="false">IF($A102="","",IFERROR(INDEX('Status map'!$D$6:$D$64,MATCH($C102&amp;" | "&amp;$D102,'Status map'!$I$6:$I$64,0)),"Unmapped"))</f>
        <v>Active</v>
      </c>
      <c r="F102" s="63" t="s">
        <v>448</v>
      </c>
      <c r="G102" s="69" t="n">
        <v>46248</v>
      </c>
      <c r="H102" s="69"/>
      <c r="I102" s="69" t="n">
        <v>46261</v>
      </c>
      <c r="J102" s="63" t="s">
        <v>492</v>
      </c>
      <c r="K102" s="63" t="s">
        <v>450</v>
      </c>
      <c r="L102" s="63" t="s">
        <v>451</v>
      </c>
      <c r="M102" s="66" t="n">
        <f aca="false">IF(OR($A102="",$H102&lt;&gt;""),"",Targets!$C$8-$I102)</f>
        <v>4</v>
      </c>
      <c r="N102" s="66" t="str">
        <f aca="false">IF($A102="","",IF(AND($F102="Project",$E102="Active",$M102&lt;&gt;"",$M102&gt;Targets!$C$12),"Yes","No"))</f>
        <v>No</v>
      </c>
      <c r="O102" s="66" t="str">
        <f aca="false">IF($A102="","",IF(AND($G102&gt;=Targets!$C$7,$G102&lt;=Targets!$C$8),"Yes","No"))</f>
        <v>Yes</v>
      </c>
      <c r="P102" s="66" t="str">
        <f aca="false">IF($A102="","",IF(AND($H102&lt;&gt;"",$H102&gt;=Targets!$C$7,$H102&lt;=Targets!$C$8),"Yes","No"))</f>
        <v>No</v>
      </c>
      <c r="Q102" s="66" t="str">
        <f aca="false">IF($A102="","",IF(AND($F102="Project",$E102&lt;&gt;"Closed",$E102&lt;&gt;"Dormant"),"Yes","No"))</f>
        <v>Yes</v>
      </c>
      <c r="R102" s="66" t="str">
        <f aca="false">IF($A102="","",IF(AND($L102="In-house",OR($E102="Intake",$E102="Active",$E102="Waiting")),"Yes","No"))</f>
        <v>Yes</v>
      </c>
      <c r="S102" s="66" t="str">
        <f aca="false">IF($A102="","",$C102&amp;" | "&amp;$D102)</f>
        <v>Employment | Investigation underway</v>
      </c>
      <c r="T102" s="66" t="str">
        <f aca="false">IF($A102="","",IF(AND($L102="Outside provider",OR($E102="Intake",$E102="Active",$E102="Waiting")),"Yes","No"))</f>
        <v>No</v>
      </c>
    </row>
    <row r="103" customFormat="false" ht="15" hidden="false" customHeight="true" outlineLevel="0" collapsed="false">
      <c r="A103" s="67" t="s">
        <v>659</v>
      </c>
      <c r="B103" s="67" t="s">
        <v>660</v>
      </c>
      <c r="C103" s="67" t="s">
        <v>501</v>
      </c>
      <c r="D103" s="67" t="s">
        <v>502</v>
      </c>
      <c r="E103" s="67" t="str">
        <f aca="false">IF($A103="","",IFERROR(INDEX('Status map'!$D$6:$D$64,MATCH($C103&amp;" | "&amp;$D103,'Status map'!$I$6:$I$64,0)),"Unmapped"))</f>
        <v>Closed</v>
      </c>
      <c r="F103" s="67" t="s">
        <v>448</v>
      </c>
      <c r="G103" s="70" t="n">
        <v>45991</v>
      </c>
      <c r="H103" s="70" t="n">
        <v>46128</v>
      </c>
      <c r="I103" s="70" t="n">
        <v>46128</v>
      </c>
      <c r="J103" s="67" t="s">
        <v>462</v>
      </c>
      <c r="K103" s="67" t="s">
        <v>461</v>
      </c>
      <c r="L103" s="67" t="s">
        <v>451</v>
      </c>
      <c r="M103" s="66" t="str">
        <f aca="false">IF(OR($A103="",$H103&lt;&gt;""),"",Targets!$C$8-$I103)</f>
        <v/>
      </c>
      <c r="N103" s="66" t="str">
        <f aca="false">IF($A103="","",IF(AND($F103="Project",$E103="Active",$M103&lt;&gt;"",$M103&gt;Targets!$C$12),"Yes","No"))</f>
        <v>No</v>
      </c>
      <c r="O103" s="66" t="str">
        <f aca="false">IF($A103="","",IF(AND($G103&gt;=Targets!$C$7,$G103&lt;=Targets!$C$8),"Yes","No"))</f>
        <v>No</v>
      </c>
      <c r="P103" s="66" t="str">
        <f aca="false">IF($A103="","",IF(AND($H103&lt;&gt;"",$H103&gt;=Targets!$C$7,$H103&lt;=Targets!$C$8),"Yes","No"))</f>
        <v>No</v>
      </c>
      <c r="Q103" s="66" t="str">
        <f aca="false">IF($A103="","",IF(AND($F103="Project",$E103&lt;&gt;"Closed",$E103&lt;&gt;"Dormant"),"Yes","No"))</f>
        <v>No</v>
      </c>
      <c r="R103" s="66" t="str">
        <f aca="false">IF($A103="","",IF(AND($L103="In-house",OR($E103="Intake",$E103="Active",$E103="Waiting")),"Yes","No"))</f>
        <v>No</v>
      </c>
      <c r="S103" s="66" t="str">
        <f aca="false">IF($A103="","",$C103&amp;" | "&amp;$D103)</f>
        <v>M&amp;A and corporate deals | Deal closed</v>
      </c>
      <c r="T103" s="66" t="str">
        <f aca="false">IF($A103="","",IF(AND($L103="Outside provider",OR($E103="Intake",$E103="Active",$E103="Waiting")),"Yes","No"))</f>
        <v>No</v>
      </c>
    </row>
    <row r="104" customFormat="false" ht="15" hidden="false" customHeight="true" outlineLevel="0" collapsed="false">
      <c r="A104" s="63" t="s">
        <v>661</v>
      </c>
      <c r="B104" s="63" t="s">
        <v>662</v>
      </c>
      <c r="C104" s="63" t="s">
        <v>647</v>
      </c>
      <c r="D104" s="63" t="s">
        <v>648</v>
      </c>
      <c r="E104" s="63" t="str">
        <f aca="false">IF($A104="","",IFERROR(INDEX('Status map'!$D$6:$D$64,MATCH($C104&amp;" | "&amp;$D104,'Status map'!$I$6:$I$64,0)),"Unmapped"))</f>
        <v>Dormant</v>
      </c>
      <c r="F104" s="63" t="s">
        <v>510</v>
      </c>
      <c r="G104" s="69" t="n">
        <v>45534</v>
      </c>
      <c r="H104" s="69"/>
      <c r="I104" s="69" t="n">
        <v>46193</v>
      </c>
      <c r="J104" s="63" t="s">
        <v>449</v>
      </c>
      <c r="K104" s="63" t="s">
        <v>462</v>
      </c>
      <c r="L104" s="63" t="s">
        <v>451</v>
      </c>
      <c r="M104" s="66" t="n">
        <f aca="false">IF(OR($A104="",$H104&lt;&gt;""),"",Targets!$C$8-$I104)</f>
        <v>72</v>
      </c>
      <c r="N104" s="66" t="str">
        <f aca="false">IF($A104="","",IF(AND($F104="Project",$E104="Active",$M104&lt;&gt;"",$M104&gt;Targets!$C$12),"Yes","No"))</f>
        <v>No</v>
      </c>
      <c r="O104" s="66" t="str">
        <f aca="false">IF($A104="","",IF(AND($G104&gt;=Targets!$C$7,$G104&lt;=Targets!$C$8),"Yes","No"))</f>
        <v>No</v>
      </c>
      <c r="P104" s="66" t="str">
        <f aca="false">IF($A104="","",IF(AND($H104&lt;&gt;"",$H104&gt;=Targets!$C$7,$H104&lt;=Targets!$C$8),"Yes","No"))</f>
        <v>No</v>
      </c>
      <c r="Q104" s="66" t="str">
        <f aca="false">IF($A104="","",IF(AND($F104="Project",$E104&lt;&gt;"Closed",$E104&lt;&gt;"Dormant"),"Yes","No"))</f>
        <v>No</v>
      </c>
      <c r="R104" s="66" t="str">
        <f aca="false">IF($A104="","",IF(AND($L104="In-house",OR($E104="Intake",$E104="Active",$E104="Waiting")),"Yes","No"))</f>
        <v>No</v>
      </c>
      <c r="S104" s="66" t="str">
        <f aca="false">IF($A104="","",$C104&amp;" | "&amp;$D104)</f>
        <v>IP: patents and trademarks | Issued or registered, in maintenance</v>
      </c>
      <c r="T104" s="66" t="str">
        <f aca="false">IF($A104="","",IF(AND($L104="Outside provider",OR($E104="Intake",$E104="Active",$E104="Waiting")),"Yes","No"))</f>
        <v>No</v>
      </c>
    </row>
    <row r="105" customFormat="false" ht="15" hidden="false" customHeight="true" outlineLevel="0" collapsed="false">
      <c r="A105" s="67" t="s">
        <v>397</v>
      </c>
      <c r="B105" s="67" t="s">
        <v>663</v>
      </c>
      <c r="C105" s="67" t="s">
        <v>501</v>
      </c>
      <c r="D105" s="67" t="s">
        <v>502</v>
      </c>
      <c r="E105" s="67" t="str">
        <f aca="false">IF($A105="","",IFERROR(INDEX('Status map'!$D$6:$D$64,MATCH($C105&amp;" | "&amp;$D105,'Status map'!$I$6:$I$64,0)),"Unmapped"))</f>
        <v>Closed</v>
      </c>
      <c r="F105" s="67" t="s">
        <v>448</v>
      </c>
      <c r="G105" s="70" t="n">
        <v>46242</v>
      </c>
      <c r="H105" s="70" t="n">
        <v>46260</v>
      </c>
      <c r="I105" s="70" t="n">
        <v>46260</v>
      </c>
      <c r="J105" s="67" t="s">
        <v>492</v>
      </c>
      <c r="K105" s="67" t="s">
        <v>664</v>
      </c>
      <c r="L105" s="67" t="s">
        <v>496</v>
      </c>
      <c r="M105" s="66" t="str">
        <f aca="false">IF(OR($A105="",$H105&lt;&gt;""),"",Targets!$C$8-$I105)</f>
        <v/>
      </c>
      <c r="N105" s="66" t="str">
        <f aca="false">IF($A105="","",IF(AND($F105="Project",$E105="Active",$M105&lt;&gt;"",$M105&gt;Targets!$C$12),"Yes","No"))</f>
        <v>No</v>
      </c>
      <c r="O105" s="66" t="str">
        <f aca="false">IF($A105="","",IF(AND($G105&gt;=Targets!$C$7,$G105&lt;=Targets!$C$8),"Yes","No"))</f>
        <v>Yes</v>
      </c>
      <c r="P105" s="66" t="str">
        <f aca="false">IF($A105="","",IF(AND($H105&lt;&gt;"",$H105&gt;=Targets!$C$7,$H105&lt;=Targets!$C$8),"Yes","No"))</f>
        <v>Yes</v>
      </c>
      <c r="Q105" s="66" t="str">
        <f aca="false">IF($A105="","",IF(AND($F105="Project",$E105&lt;&gt;"Closed",$E105&lt;&gt;"Dormant"),"Yes","No"))</f>
        <v>No</v>
      </c>
      <c r="R105" s="66" t="str">
        <f aca="false">IF($A105="","",IF(AND($L105="In-house",OR($E105="Intake",$E105="Active",$E105="Waiting")),"Yes","No"))</f>
        <v>No</v>
      </c>
      <c r="S105" s="66" t="str">
        <f aca="false">IF($A105="","",$C105&amp;" | "&amp;$D105)</f>
        <v>M&amp;A and corporate deals | Deal closed</v>
      </c>
      <c r="T105" s="66" t="str">
        <f aca="false">IF($A105="","",IF(AND($L105="Outside provider",OR($E105="Intake",$E105="Active",$E105="Waiting")),"Yes","No"))</f>
        <v>No</v>
      </c>
    </row>
    <row r="106" customFormat="false" ht="15" hidden="false" customHeight="true" outlineLevel="0" collapsed="false">
      <c r="A106" s="63" t="s">
        <v>665</v>
      </c>
      <c r="B106" s="63" t="s">
        <v>666</v>
      </c>
      <c r="C106" s="63" t="s">
        <v>501</v>
      </c>
      <c r="D106" s="63" t="s">
        <v>502</v>
      </c>
      <c r="E106" s="63" t="str">
        <f aca="false">IF($A106="","",IFERROR(INDEX('Status map'!$D$6:$D$64,MATCH($C106&amp;" | "&amp;$D106,'Status map'!$I$6:$I$64,0)),"Unmapped"))</f>
        <v>Closed</v>
      </c>
      <c r="F106" s="63" t="s">
        <v>448</v>
      </c>
      <c r="G106" s="69" t="n">
        <v>45785</v>
      </c>
      <c r="H106" s="69" t="n">
        <v>45883</v>
      </c>
      <c r="I106" s="69" t="n">
        <v>45883</v>
      </c>
      <c r="J106" s="63" t="s">
        <v>461</v>
      </c>
      <c r="K106" s="63" t="s">
        <v>450</v>
      </c>
      <c r="L106" s="63" t="s">
        <v>451</v>
      </c>
      <c r="M106" s="66" t="str">
        <f aca="false">IF(OR($A106="",$H106&lt;&gt;""),"",Targets!$C$8-$I106)</f>
        <v/>
      </c>
      <c r="N106" s="66" t="str">
        <f aca="false">IF($A106="","",IF(AND($F106="Project",$E106="Active",$M106&lt;&gt;"",$M106&gt;Targets!$C$12),"Yes","No"))</f>
        <v>No</v>
      </c>
      <c r="O106" s="66" t="str">
        <f aca="false">IF($A106="","",IF(AND($G106&gt;=Targets!$C$7,$G106&lt;=Targets!$C$8),"Yes","No"))</f>
        <v>No</v>
      </c>
      <c r="P106" s="66" t="str">
        <f aca="false">IF($A106="","",IF(AND($H106&lt;&gt;"",$H106&gt;=Targets!$C$7,$H106&lt;=Targets!$C$8),"Yes","No"))</f>
        <v>No</v>
      </c>
      <c r="Q106" s="66" t="str">
        <f aca="false">IF($A106="","",IF(AND($F106="Project",$E106&lt;&gt;"Closed",$E106&lt;&gt;"Dormant"),"Yes","No"))</f>
        <v>No</v>
      </c>
      <c r="R106" s="66" t="str">
        <f aca="false">IF($A106="","",IF(AND($L106="In-house",OR($E106="Intake",$E106="Active",$E106="Waiting")),"Yes","No"))</f>
        <v>No</v>
      </c>
      <c r="S106" s="66" t="str">
        <f aca="false">IF($A106="","",$C106&amp;" | "&amp;$D106)</f>
        <v>M&amp;A and corporate deals | Deal closed</v>
      </c>
      <c r="T106" s="66" t="str">
        <f aca="false">IF($A106="","",IF(AND($L106="Outside provider",OR($E106="Intake",$E106="Active",$E106="Waiting")),"Yes","No"))</f>
        <v>No</v>
      </c>
    </row>
    <row r="107" customFormat="false" ht="15" hidden="false" customHeight="true" outlineLevel="0" collapsed="false">
      <c r="A107" s="67" t="s">
        <v>667</v>
      </c>
      <c r="B107" s="67" t="s">
        <v>668</v>
      </c>
      <c r="C107" s="67" t="s">
        <v>446</v>
      </c>
      <c r="D107" s="67" t="s">
        <v>563</v>
      </c>
      <c r="E107" s="67" t="str">
        <f aca="false">IF($A107="","",IFERROR(INDEX('Status map'!$D$6:$D$64,MATCH($C107&amp;" | "&amp;$D107,'Status map'!$I$6:$I$64,0)),"Unmapped"))</f>
        <v>Waiting</v>
      </c>
      <c r="F107" s="67" t="s">
        <v>448</v>
      </c>
      <c r="G107" s="70" t="n">
        <v>45969</v>
      </c>
      <c r="H107" s="70"/>
      <c r="I107" s="70" t="n">
        <v>46252</v>
      </c>
      <c r="J107" s="67" t="s">
        <v>449</v>
      </c>
      <c r="K107" s="67" t="s">
        <v>449</v>
      </c>
      <c r="L107" s="67" t="s">
        <v>451</v>
      </c>
      <c r="M107" s="66" t="n">
        <f aca="false">IF(OR($A107="",$H107&lt;&gt;""),"",Targets!$C$8-$I107)</f>
        <v>13</v>
      </c>
      <c r="N107" s="66" t="str">
        <f aca="false">IF($A107="","",IF(AND($F107="Project",$E107="Active",$M107&lt;&gt;"",$M107&gt;Targets!$C$12),"Yes","No"))</f>
        <v>No</v>
      </c>
      <c r="O107" s="66" t="str">
        <f aca="false">IF($A107="","",IF(AND($G107&gt;=Targets!$C$7,$G107&lt;=Targets!$C$8),"Yes","No"))</f>
        <v>No</v>
      </c>
      <c r="P107" s="66" t="str">
        <f aca="false">IF($A107="","",IF(AND($H107&lt;&gt;"",$H107&gt;=Targets!$C$7,$H107&lt;=Targets!$C$8),"Yes","No"))</f>
        <v>No</v>
      </c>
      <c r="Q107" s="66" t="str">
        <f aca="false">IF($A107="","",IF(AND($F107="Project",$E107&lt;&gt;"Closed",$E107&lt;&gt;"Dormant"),"Yes","No"))</f>
        <v>Yes</v>
      </c>
      <c r="R107" s="66" t="str">
        <f aca="false">IF($A107="","",IF(AND($L107="In-house",OR($E107="Intake",$E107="Active",$E107="Waiting")),"Yes","No"))</f>
        <v>Yes</v>
      </c>
      <c r="S107" s="66" t="str">
        <f aca="false">IF($A107="","",$C107&amp;" | "&amp;$D107)</f>
        <v>Employment | Awaiting the employee, an agency, or outside counsel</v>
      </c>
      <c r="T107" s="66" t="str">
        <f aca="false">IF($A107="","",IF(AND($L107="Outside provider",OR($E107="Intake",$E107="Active",$E107="Waiting")),"Yes","No"))</f>
        <v>No</v>
      </c>
    </row>
    <row r="108" customFormat="false" ht="15" hidden="false" customHeight="true" outlineLevel="0" collapsed="false">
      <c r="A108" s="63" t="s">
        <v>389</v>
      </c>
      <c r="B108" s="63" t="s">
        <v>513</v>
      </c>
      <c r="C108" s="63" t="s">
        <v>454</v>
      </c>
      <c r="D108" s="63" t="s">
        <v>455</v>
      </c>
      <c r="E108" s="63" t="str">
        <f aca="false">IF($A108="","",IFERROR(INDEX('Status map'!$D$6:$D$64,MATCH($C108&amp;" | "&amp;$D108,'Status map'!$I$6:$I$64,0)),"Unmapped"))</f>
        <v>Closed</v>
      </c>
      <c r="F108" s="63" t="s">
        <v>448</v>
      </c>
      <c r="G108" s="69" t="n">
        <v>46241</v>
      </c>
      <c r="H108" s="69" t="n">
        <v>46253</v>
      </c>
      <c r="I108" s="69" t="n">
        <v>46253</v>
      </c>
      <c r="J108" s="63" t="s">
        <v>474</v>
      </c>
      <c r="K108" s="63" t="s">
        <v>461</v>
      </c>
      <c r="L108" s="63" t="s">
        <v>451</v>
      </c>
      <c r="M108" s="66" t="str">
        <f aca="false">IF(OR($A108="",$H108&lt;&gt;""),"",Targets!$C$8-$I108)</f>
        <v/>
      </c>
      <c r="N108" s="66" t="str">
        <f aca="false">IF($A108="","",IF(AND($F108="Project",$E108="Active",$M108&lt;&gt;"",$M108&gt;Targets!$C$12),"Yes","No"))</f>
        <v>No</v>
      </c>
      <c r="O108" s="66" t="str">
        <f aca="false">IF($A108="","",IF(AND($G108&gt;=Targets!$C$7,$G108&lt;=Targets!$C$8),"Yes","No"))</f>
        <v>Yes</v>
      </c>
      <c r="P108" s="66" t="str">
        <f aca="false">IF($A108="","",IF(AND($H108&lt;&gt;"",$H108&gt;=Targets!$C$7,$H108&lt;=Targets!$C$8),"Yes","No"))</f>
        <v>Yes</v>
      </c>
      <c r="Q108" s="66" t="str">
        <f aca="false">IF($A108="","",IF(AND($F108="Project",$E108&lt;&gt;"Closed",$E108&lt;&gt;"Dormant"),"Yes","No"))</f>
        <v>No</v>
      </c>
      <c r="R108" s="66" t="str">
        <f aca="false">IF($A108="","",IF(AND($L108="In-house",OR($E108="Intake",$E108="Active",$E108="Waiting")),"Yes","No"))</f>
        <v>No</v>
      </c>
      <c r="S108" s="66" t="str">
        <f aca="false">IF($A108="","",$C108&amp;" | "&amp;$D108)</f>
        <v>Litigation | Settled, dismissed, or judgment entered</v>
      </c>
      <c r="T108" s="66" t="str">
        <f aca="false">IF($A108="","",IF(AND($L108="Outside provider",OR($E108="Intake",$E108="Active",$E108="Waiting")),"Yes","No"))</f>
        <v>No</v>
      </c>
    </row>
    <row r="109" customFormat="false" ht="15" hidden="false" customHeight="true" outlineLevel="0" collapsed="false">
      <c r="A109" s="67" t="s">
        <v>669</v>
      </c>
      <c r="B109" s="67" t="s">
        <v>670</v>
      </c>
      <c r="C109" s="67" t="s">
        <v>459</v>
      </c>
      <c r="D109" s="67" t="s">
        <v>491</v>
      </c>
      <c r="E109" s="67" t="str">
        <f aca="false">IF($A109="","",IFERROR(INDEX('Status map'!$D$6:$D$64,MATCH($C109&amp;" | "&amp;$D109,'Status map'!$I$6:$I$64,0)),"Unmapped"))</f>
        <v>Active</v>
      </c>
      <c r="F109" s="67" t="s">
        <v>482</v>
      </c>
      <c r="G109" s="70" t="n">
        <v>46120</v>
      </c>
      <c r="H109" s="70"/>
      <c r="I109" s="70" t="n">
        <v>46259</v>
      </c>
      <c r="J109" s="67" t="s">
        <v>474</v>
      </c>
      <c r="K109" s="67" t="s">
        <v>456</v>
      </c>
      <c r="L109" s="67" t="s">
        <v>451</v>
      </c>
      <c r="M109" s="66" t="n">
        <f aca="false">IF(OR($A109="",$H109&lt;&gt;""),"",Targets!$C$8-$I109)</f>
        <v>6</v>
      </c>
      <c r="N109" s="66" t="str">
        <f aca="false">IF($A109="","",IF(AND($F109="Project",$E109="Active",$M109&lt;&gt;"",$M109&gt;Targets!$C$12),"Yes","No"))</f>
        <v>No</v>
      </c>
      <c r="O109" s="66" t="str">
        <f aca="false">IF($A109="","",IF(AND($G109&gt;=Targets!$C$7,$G109&lt;=Targets!$C$8),"Yes","No"))</f>
        <v>No</v>
      </c>
      <c r="P109" s="66" t="str">
        <f aca="false">IF($A109="","",IF(AND($H109&lt;&gt;"",$H109&gt;=Targets!$C$7,$H109&lt;=Targets!$C$8),"Yes","No"))</f>
        <v>No</v>
      </c>
      <c r="Q109" s="66" t="str">
        <f aca="false">IF($A109="","",IF(AND($F109="Project",$E109&lt;&gt;"Closed",$E109&lt;&gt;"Dormant"),"Yes","No"))</f>
        <v>No</v>
      </c>
      <c r="R109" s="66" t="str">
        <f aca="false">IF($A109="","",IF(AND($L109="In-house",OR($E109="Intake",$E109="Active",$E109="Waiting")),"Yes","No"))</f>
        <v>Yes</v>
      </c>
      <c r="S109" s="66" t="str">
        <f aca="false">IF($A109="","",$C109&amp;" | "&amp;$D109)</f>
        <v>Contracts | Drafting, review, or negotiation</v>
      </c>
      <c r="T109" s="66" t="str">
        <f aca="false">IF($A109="","",IF(AND($L109="Outside provider",OR($E109="Intake",$E109="Active",$E109="Waiting")),"Yes","No"))</f>
        <v>No</v>
      </c>
    </row>
    <row r="110" customFormat="false" ht="15" hidden="false" customHeight="true" outlineLevel="0" collapsed="false">
      <c r="A110" s="63" t="s">
        <v>671</v>
      </c>
      <c r="B110" s="63" t="s">
        <v>672</v>
      </c>
      <c r="C110" s="63" t="s">
        <v>459</v>
      </c>
      <c r="D110" s="63" t="s">
        <v>491</v>
      </c>
      <c r="E110" s="63" t="str">
        <f aca="false">IF($A110="","",IFERROR(INDEX('Status map'!$D$6:$D$64,MATCH($C110&amp;" | "&amp;$D110,'Status map'!$I$6:$I$64,0)),"Unmapped"))</f>
        <v>Active</v>
      </c>
      <c r="F110" s="63" t="s">
        <v>448</v>
      </c>
      <c r="G110" s="69" t="n">
        <v>46047</v>
      </c>
      <c r="H110" s="69"/>
      <c r="I110" s="69" t="n">
        <v>46242</v>
      </c>
      <c r="J110" s="63" t="s">
        <v>456</v>
      </c>
      <c r="K110" s="63" t="s">
        <v>461</v>
      </c>
      <c r="L110" s="63" t="s">
        <v>451</v>
      </c>
      <c r="M110" s="66" t="n">
        <f aca="false">IF(OR($A110="",$H110&lt;&gt;""),"",Targets!$C$8-$I110)</f>
        <v>23</v>
      </c>
      <c r="N110" s="66" t="str">
        <f aca="false">IF($A110="","",IF(AND($F110="Project",$E110="Active",$M110&lt;&gt;"",$M110&gt;Targets!$C$12),"Yes","No"))</f>
        <v>No</v>
      </c>
      <c r="O110" s="66" t="str">
        <f aca="false">IF($A110="","",IF(AND($G110&gt;=Targets!$C$7,$G110&lt;=Targets!$C$8),"Yes","No"))</f>
        <v>No</v>
      </c>
      <c r="P110" s="66" t="str">
        <f aca="false">IF($A110="","",IF(AND($H110&lt;&gt;"",$H110&gt;=Targets!$C$7,$H110&lt;=Targets!$C$8),"Yes","No"))</f>
        <v>No</v>
      </c>
      <c r="Q110" s="66" t="str">
        <f aca="false">IF($A110="","",IF(AND($F110="Project",$E110&lt;&gt;"Closed",$E110&lt;&gt;"Dormant"),"Yes","No"))</f>
        <v>Yes</v>
      </c>
      <c r="R110" s="66" t="str">
        <f aca="false">IF($A110="","",IF(AND($L110="In-house",OR($E110="Intake",$E110="Active",$E110="Waiting")),"Yes","No"))</f>
        <v>Yes</v>
      </c>
      <c r="S110" s="66" t="str">
        <f aca="false">IF($A110="","",$C110&amp;" | "&amp;$D110)</f>
        <v>Contracts | Drafting, review, or negotiation</v>
      </c>
      <c r="T110" s="66" t="str">
        <f aca="false">IF($A110="","",IF(AND($L110="Outside provider",OR($E110="Intake",$E110="Active",$E110="Waiting")),"Yes","No"))</f>
        <v>No</v>
      </c>
    </row>
    <row r="111" customFormat="false" ht="15" hidden="false" customHeight="true" outlineLevel="0" collapsed="false">
      <c r="A111" s="67" t="s">
        <v>673</v>
      </c>
      <c r="B111" s="67" t="s">
        <v>674</v>
      </c>
      <c r="C111" s="67" t="s">
        <v>501</v>
      </c>
      <c r="D111" s="67" t="s">
        <v>502</v>
      </c>
      <c r="E111" s="67" t="str">
        <f aca="false">IF($A111="","",IFERROR(INDEX('Status map'!$D$6:$D$64,MATCH($C111&amp;" | "&amp;$D111,'Status map'!$I$6:$I$64,0)),"Unmapped"))</f>
        <v>Closed</v>
      </c>
      <c r="F111" s="67" t="s">
        <v>448</v>
      </c>
      <c r="G111" s="70" t="n">
        <v>46153</v>
      </c>
      <c r="H111" s="70" t="n">
        <v>46263</v>
      </c>
      <c r="I111" s="70" t="n">
        <v>46263</v>
      </c>
      <c r="J111" s="67" t="s">
        <v>456</v>
      </c>
      <c r="K111" s="67" t="s">
        <v>470</v>
      </c>
      <c r="L111" s="67" t="s">
        <v>451</v>
      </c>
      <c r="M111" s="66" t="str">
        <f aca="false">IF(OR($A111="",$H111&lt;&gt;""),"",Targets!$C$8-$I111)</f>
        <v/>
      </c>
      <c r="N111" s="66" t="str">
        <f aca="false">IF($A111="","",IF(AND($F111="Project",$E111="Active",$M111&lt;&gt;"",$M111&gt;Targets!$C$12),"Yes","No"))</f>
        <v>No</v>
      </c>
      <c r="O111" s="66" t="str">
        <f aca="false">IF($A111="","",IF(AND($G111&gt;=Targets!$C$7,$G111&lt;=Targets!$C$8),"Yes","No"))</f>
        <v>No</v>
      </c>
      <c r="P111" s="66" t="str">
        <f aca="false">IF($A111="","",IF(AND($H111&lt;&gt;"",$H111&gt;=Targets!$C$7,$H111&lt;=Targets!$C$8),"Yes","No"))</f>
        <v>Yes</v>
      </c>
      <c r="Q111" s="66" t="str">
        <f aca="false">IF($A111="","",IF(AND($F111="Project",$E111&lt;&gt;"Closed",$E111&lt;&gt;"Dormant"),"Yes","No"))</f>
        <v>No</v>
      </c>
      <c r="R111" s="66" t="str">
        <f aca="false">IF($A111="","",IF(AND($L111="In-house",OR($E111="Intake",$E111="Active",$E111="Waiting")),"Yes","No"))</f>
        <v>No</v>
      </c>
      <c r="S111" s="66" t="str">
        <f aca="false">IF($A111="","",$C111&amp;" | "&amp;$D111)</f>
        <v>M&amp;A and corporate deals | Deal closed</v>
      </c>
      <c r="T111" s="66" t="str">
        <f aca="false">IF($A111="","",IF(AND($L111="Outside provider",OR($E111="Intake",$E111="Active",$E111="Waiting")),"Yes","No"))</f>
        <v>No</v>
      </c>
    </row>
    <row r="112" customFormat="false" ht="15" hidden="false" customHeight="true" outlineLevel="0" collapsed="false">
      <c r="A112" s="63" t="s">
        <v>675</v>
      </c>
      <c r="B112" s="63" t="s">
        <v>676</v>
      </c>
      <c r="C112" s="63" t="s">
        <v>446</v>
      </c>
      <c r="D112" s="63" t="s">
        <v>473</v>
      </c>
      <c r="E112" s="63" t="str">
        <f aca="false">IF($A112="","",IFERROR(INDEX('Status map'!$D$6:$D$64,MATCH($C112&amp;" | "&amp;$D112,'Status map'!$I$6:$I$64,0)),"Unmapped"))</f>
        <v>Closed</v>
      </c>
      <c r="F112" s="63" t="s">
        <v>482</v>
      </c>
      <c r="G112" s="69" t="n">
        <v>45751</v>
      </c>
      <c r="H112" s="69" t="n">
        <v>45913</v>
      </c>
      <c r="I112" s="69" t="n">
        <v>45913</v>
      </c>
      <c r="J112" s="63" t="s">
        <v>462</v>
      </c>
      <c r="K112" s="63" t="s">
        <v>461</v>
      </c>
      <c r="L112" s="63" t="s">
        <v>451</v>
      </c>
      <c r="M112" s="66" t="str">
        <f aca="false">IF(OR($A112="",$H112&lt;&gt;""),"",Targets!$C$8-$I112)</f>
        <v/>
      </c>
      <c r="N112" s="66" t="str">
        <f aca="false">IF($A112="","",IF(AND($F112="Project",$E112="Active",$M112&lt;&gt;"",$M112&gt;Targets!$C$12),"Yes","No"))</f>
        <v>No</v>
      </c>
      <c r="O112" s="66" t="str">
        <f aca="false">IF($A112="","",IF(AND($G112&gt;=Targets!$C$7,$G112&lt;=Targets!$C$8),"Yes","No"))</f>
        <v>No</v>
      </c>
      <c r="P112" s="66" t="str">
        <f aca="false">IF($A112="","",IF(AND($H112&lt;&gt;"",$H112&gt;=Targets!$C$7,$H112&lt;=Targets!$C$8),"Yes","No"))</f>
        <v>No</v>
      </c>
      <c r="Q112" s="66" t="str">
        <f aca="false">IF($A112="","",IF(AND($F112="Project",$E112&lt;&gt;"Closed",$E112&lt;&gt;"Dormant"),"Yes","No"))</f>
        <v>No</v>
      </c>
      <c r="R112" s="66" t="str">
        <f aca="false">IF($A112="","",IF(AND($L112="In-house",OR($E112="Intake",$E112="Active",$E112="Waiting")),"Yes","No"))</f>
        <v>No</v>
      </c>
      <c r="S112" s="66" t="str">
        <f aca="false">IF($A112="","",$C112&amp;" | "&amp;$D112)</f>
        <v>Employment | Resolved or closed</v>
      </c>
      <c r="T112" s="66" t="str">
        <f aca="false">IF($A112="","",IF(AND($L112="Outside provider",OR($E112="Intake",$E112="Active",$E112="Waiting")),"Yes","No"))</f>
        <v>No</v>
      </c>
    </row>
    <row r="113" customFormat="false" ht="15" hidden="false" customHeight="true" outlineLevel="0" collapsed="false">
      <c r="A113" s="67" t="s">
        <v>677</v>
      </c>
      <c r="B113" s="67" t="s">
        <v>678</v>
      </c>
      <c r="C113" s="67" t="s">
        <v>454</v>
      </c>
      <c r="D113" s="67" t="s">
        <v>514</v>
      </c>
      <c r="E113" s="67" t="str">
        <f aca="false">IF($A113="","",IFERROR(INDEX('Status map'!$D$6:$D$64,MATCH($C113&amp;" | "&amp;$D113,'Status map'!$I$6:$I$64,0)),"Unmapped"))</f>
        <v>Active</v>
      </c>
      <c r="F113" s="67" t="s">
        <v>448</v>
      </c>
      <c r="G113" s="70" t="n">
        <v>46210</v>
      </c>
      <c r="H113" s="70"/>
      <c r="I113" s="70" t="n">
        <v>46256</v>
      </c>
      <c r="J113" s="67" t="s">
        <v>450</v>
      </c>
      <c r="K113" s="67" t="s">
        <v>449</v>
      </c>
      <c r="L113" s="67" t="s">
        <v>451</v>
      </c>
      <c r="M113" s="66" t="n">
        <f aca="false">IF(OR($A113="",$H113&lt;&gt;""),"",Targets!$C$8-$I113)</f>
        <v>9</v>
      </c>
      <c r="N113" s="66" t="str">
        <f aca="false">IF($A113="","",IF(AND($F113="Project",$E113="Active",$M113&lt;&gt;"",$M113&gt;Targets!$C$12),"Yes","No"))</f>
        <v>No</v>
      </c>
      <c r="O113" s="66" t="str">
        <f aca="false">IF($A113="","",IF(AND($G113&gt;=Targets!$C$7,$G113&lt;=Targets!$C$8),"Yes","No"))</f>
        <v>No</v>
      </c>
      <c r="P113" s="66" t="str">
        <f aca="false">IF($A113="","",IF(AND($H113&lt;&gt;"",$H113&gt;=Targets!$C$7,$H113&lt;=Targets!$C$8),"Yes","No"))</f>
        <v>No</v>
      </c>
      <c r="Q113" s="66" t="str">
        <f aca="false">IF($A113="","",IF(AND($F113="Project",$E113&lt;&gt;"Closed",$E113&lt;&gt;"Dormant"),"Yes","No"))</f>
        <v>Yes</v>
      </c>
      <c r="R113" s="66" t="str">
        <f aca="false">IF($A113="","",IF(AND($L113="In-house",OR($E113="Intake",$E113="Active",$E113="Waiting")),"Yes","No"))</f>
        <v>Yes</v>
      </c>
      <c r="S113" s="66" t="str">
        <f aca="false">IF($A113="","",$C113&amp;" | "&amp;$D113)</f>
        <v>Litigation | Active discovery, motions, or trial prep</v>
      </c>
      <c r="T113" s="66" t="str">
        <f aca="false">IF($A113="","",IF(AND($L113="Outside provider",OR($E113="Intake",$E113="Active",$E113="Waiting")),"Yes","No"))</f>
        <v>No</v>
      </c>
    </row>
    <row r="114" customFormat="false" ht="15" hidden="false" customHeight="true" outlineLevel="0" collapsed="false">
      <c r="A114" s="63" t="s">
        <v>679</v>
      </c>
      <c r="B114" s="63" t="s">
        <v>680</v>
      </c>
      <c r="C114" s="63" t="s">
        <v>487</v>
      </c>
      <c r="D114" s="63" t="s">
        <v>601</v>
      </c>
      <c r="E114" s="63" t="str">
        <f aca="false">IF($A114="","",IFERROR(INDEX('Status map'!$D$6:$D$64,MATCH($C114&amp;" | "&amp;$D114,'Status map'!$I$6:$I$64,0)),"Unmapped"))</f>
        <v>Closed</v>
      </c>
      <c r="F114" s="63" t="s">
        <v>482</v>
      </c>
      <c r="G114" s="69" t="n">
        <v>46166</v>
      </c>
      <c r="H114" s="69" t="n">
        <v>46262</v>
      </c>
      <c r="I114" s="69" t="n">
        <v>46262</v>
      </c>
      <c r="J114" s="63" t="s">
        <v>449</v>
      </c>
      <c r="K114" s="63" t="s">
        <v>492</v>
      </c>
      <c r="L114" s="63" t="s">
        <v>451</v>
      </c>
      <c r="M114" s="66" t="str">
        <f aca="false">IF(OR($A114="",$H114&lt;&gt;""),"",Targets!$C$8-$I114)</f>
        <v/>
      </c>
      <c r="N114" s="66" t="str">
        <f aca="false">IF($A114="","",IF(AND($F114="Project",$E114="Active",$M114&lt;&gt;"",$M114&gt;Targets!$C$12),"Yes","No"))</f>
        <v>No</v>
      </c>
      <c r="O114" s="66" t="str">
        <f aca="false">IF($A114="","",IF(AND($G114&gt;=Targets!$C$7,$G114&lt;=Targets!$C$8),"Yes","No"))</f>
        <v>No</v>
      </c>
      <c r="P114" s="66" t="str">
        <f aca="false">IF($A114="","",IF(AND($H114&lt;&gt;"",$H114&gt;=Targets!$C$7,$H114&lt;=Targets!$C$8),"Yes","No"))</f>
        <v>Yes</v>
      </c>
      <c r="Q114" s="66" t="str">
        <f aca="false">IF($A114="","",IF(AND($F114="Project",$E114&lt;&gt;"Closed",$E114&lt;&gt;"Dormant"),"Yes","No"))</f>
        <v>No</v>
      </c>
      <c r="R114" s="66" t="str">
        <f aca="false">IF($A114="","",IF(AND($L114="In-house",OR($E114="Intake",$E114="Active",$E114="Waiting")),"Yes","No"))</f>
        <v>No</v>
      </c>
      <c r="S114" s="66" t="str">
        <f aca="false">IF($A114="","",$C114&amp;" | "&amp;$D114)</f>
        <v>Corporate and entity management | Entity dissolved</v>
      </c>
      <c r="T114" s="66" t="str">
        <f aca="false">IF($A114="","",IF(AND($L114="Outside provider",OR($E114="Intake",$E114="Active",$E114="Waiting")),"Yes","No"))</f>
        <v>No</v>
      </c>
    </row>
    <row r="115" customFormat="false" ht="15" hidden="false" customHeight="true" outlineLevel="0" collapsed="false">
      <c r="A115" s="67" t="s">
        <v>681</v>
      </c>
      <c r="B115" s="67" t="s">
        <v>682</v>
      </c>
      <c r="C115" s="67" t="s">
        <v>465</v>
      </c>
      <c r="D115" s="67" t="s">
        <v>509</v>
      </c>
      <c r="E115" s="67" t="str">
        <f aca="false">IF($A115="","",IFERROR(INDEX('Status map'!$D$6:$D$64,MATCH($C115&amp;" | "&amp;$D115,'Status map'!$I$6:$I$64,0)),"Unmapped"))</f>
        <v>Dormant</v>
      </c>
      <c r="F115" s="67" t="s">
        <v>510</v>
      </c>
      <c r="G115" s="70" t="n">
        <v>45248</v>
      </c>
      <c r="H115" s="70"/>
      <c r="I115" s="70" t="n">
        <v>46167</v>
      </c>
      <c r="J115" s="67" t="s">
        <v>492</v>
      </c>
      <c r="K115" s="67" t="s">
        <v>474</v>
      </c>
      <c r="L115" s="67" t="s">
        <v>451</v>
      </c>
      <c r="M115" s="66" t="n">
        <f aca="false">IF(OR($A115="",$H115&lt;&gt;""),"",Targets!$C$8-$I115)</f>
        <v>98</v>
      </c>
      <c r="N115" s="66" t="str">
        <f aca="false">IF($A115="","",IF(AND($F115="Project",$E115="Active",$M115&lt;&gt;"",$M115&gt;Targets!$C$12),"Yes","No"))</f>
        <v>No</v>
      </c>
      <c r="O115" s="66" t="str">
        <f aca="false">IF($A115="","",IF(AND($G115&gt;=Targets!$C$7,$G115&lt;=Targets!$C$8),"Yes","No"))</f>
        <v>No</v>
      </c>
      <c r="P115" s="66" t="str">
        <f aca="false">IF($A115="","",IF(AND($H115&lt;&gt;"",$H115&gt;=Targets!$C$7,$H115&lt;=Targets!$C$8),"Yes","No"))</f>
        <v>No</v>
      </c>
      <c r="Q115" s="66" t="str">
        <f aca="false">IF($A115="","",IF(AND($F115="Project",$E115&lt;&gt;"Closed",$E115&lt;&gt;"Dormant"),"Yes","No"))</f>
        <v>No</v>
      </c>
      <c r="R115" s="66" t="str">
        <f aca="false">IF($A115="","",IF(AND($L115="In-house",OR($E115="Intake",$E115="Active",$E115="Waiting")),"Yes","No"))</f>
        <v>No</v>
      </c>
      <c r="S115" s="66" t="str">
        <f aca="false">IF($A115="","",$C115&amp;" | "&amp;$D115)</f>
        <v>Immigration and visas | Approved, renewal window tracked</v>
      </c>
      <c r="T115" s="66" t="str">
        <f aca="false">IF($A115="","",IF(AND($L115="Outside provider",OR($E115="Intake",$E115="Active",$E115="Waiting")),"Yes","No"))</f>
        <v>No</v>
      </c>
    </row>
    <row r="116" customFormat="false" ht="15" hidden="false" customHeight="true" outlineLevel="0" collapsed="false">
      <c r="A116" s="63" t="s">
        <v>407</v>
      </c>
      <c r="B116" s="63" t="s">
        <v>554</v>
      </c>
      <c r="C116" s="63" t="s">
        <v>501</v>
      </c>
      <c r="D116" s="63" t="s">
        <v>683</v>
      </c>
      <c r="E116" s="63" t="str">
        <f aca="false">IF($A116="","",IFERROR(INDEX('Status map'!$D$6:$D$64,MATCH($C116&amp;" | "&amp;$D116,'Status map'!$I$6:$I$64,0)),"Unmapped"))</f>
        <v>Active</v>
      </c>
      <c r="F116" s="63" t="s">
        <v>448</v>
      </c>
      <c r="G116" s="69" t="n">
        <v>46261</v>
      </c>
      <c r="H116" s="69"/>
      <c r="I116" s="69" t="n">
        <v>46263</v>
      </c>
      <c r="J116" s="63" t="s">
        <v>492</v>
      </c>
      <c r="K116" s="63" t="s">
        <v>492</v>
      </c>
      <c r="L116" s="63" t="s">
        <v>451</v>
      </c>
      <c r="M116" s="66" t="n">
        <f aca="false">IF(OR($A116="",$H116&lt;&gt;""),"",Targets!$C$8-$I116)</f>
        <v>2</v>
      </c>
      <c r="N116" s="66" t="str">
        <f aca="false">IF($A116="","",IF(AND($F116="Project",$E116="Active",$M116&lt;&gt;"",$M116&gt;Targets!$C$12),"Yes","No"))</f>
        <v>No</v>
      </c>
      <c r="O116" s="66" t="str">
        <f aca="false">IF($A116="","",IF(AND($G116&gt;=Targets!$C$7,$G116&lt;=Targets!$C$8),"Yes","No"))</f>
        <v>Yes</v>
      </c>
      <c r="P116" s="66" t="str">
        <f aca="false">IF($A116="","",IF(AND($H116&lt;&gt;"",$H116&gt;=Targets!$C$7,$H116&lt;=Targets!$C$8),"Yes","No"))</f>
        <v>No</v>
      </c>
      <c r="Q116" s="66" t="str">
        <f aca="false">IF($A116="","",IF(AND($F116="Project",$E116&lt;&gt;"Closed",$E116&lt;&gt;"Dormant"),"Yes","No"))</f>
        <v>Yes</v>
      </c>
      <c r="R116" s="66" t="str">
        <f aca="false">IF($A116="","",IF(AND($L116="In-house",OR($E116="Intake",$E116="Active",$E116="Waiting")),"Yes","No"))</f>
        <v>Yes</v>
      </c>
      <c r="S116" s="66" t="str">
        <f aca="false">IF($A116="","",$C116&amp;" | "&amp;$D116)</f>
        <v>M&amp;A and corporate deals | Due diligence and negotiation underway</v>
      </c>
      <c r="T116" s="66" t="str">
        <f aca="false">IF($A116="","",IF(AND($L116="Outside provider",OR($E116="Intake",$E116="Active",$E116="Waiting")),"Yes","No"))</f>
        <v>No</v>
      </c>
    </row>
    <row r="117" customFormat="false" ht="15" hidden="false" customHeight="true" outlineLevel="0" collapsed="false">
      <c r="A117" s="67" t="s">
        <v>684</v>
      </c>
      <c r="B117" s="67" t="s">
        <v>685</v>
      </c>
      <c r="C117" s="67" t="s">
        <v>446</v>
      </c>
      <c r="D117" s="67" t="s">
        <v>545</v>
      </c>
      <c r="E117" s="67" t="str">
        <f aca="false">IF($A117="","",IFERROR(INDEX('Status map'!$D$6:$D$64,MATCH($C117&amp;" | "&amp;$D117,'Status map'!$I$6:$I$64,0)),"Unmapped"))</f>
        <v>Active</v>
      </c>
      <c r="F117" s="67" t="s">
        <v>448</v>
      </c>
      <c r="G117" s="70" t="n">
        <v>46141</v>
      </c>
      <c r="H117" s="70"/>
      <c r="I117" s="70" t="n">
        <v>46261</v>
      </c>
      <c r="J117" s="67" t="s">
        <v>450</v>
      </c>
      <c r="K117" s="67" t="s">
        <v>449</v>
      </c>
      <c r="L117" s="67" t="s">
        <v>451</v>
      </c>
      <c r="M117" s="66" t="n">
        <f aca="false">IF(OR($A117="",$H117&lt;&gt;""),"",Targets!$C$8-$I117)</f>
        <v>4</v>
      </c>
      <c r="N117" s="66" t="str">
        <f aca="false">IF($A117="","",IF(AND($F117="Project",$E117="Active",$M117&lt;&gt;"",$M117&gt;Targets!$C$12),"Yes","No"))</f>
        <v>No</v>
      </c>
      <c r="O117" s="66" t="str">
        <f aca="false">IF($A117="","",IF(AND($G117&gt;=Targets!$C$7,$G117&lt;=Targets!$C$8),"Yes","No"))</f>
        <v>No</v>
      </c>
      <c r="P117" s="66" t="str">
        <f aca="false">IF($A117="","",IF(AND($H117&lt;&gt;"",$H117&gt;=Targets!$C$7,$H117&lt;=Targets!$C$8),"Yes","No"))</f>
        <v>No</v>
      </c>
      <c r="Q117" s="66" t="str">
        <f aca="false">IF($A117="","",IF(AND($F117="Project",$E117&lt;&gt;"Closed",$E117&lt;&gt;"Dormant"),"Yes","No"))</f>
        <v>Yes</v>
      </c>
      <c r="R117" s="66" t="str">
        <f aca="false">IF($A117="","",IF(AND($L117="In-house",OR($E117="Intake",$E117="Active",$E117="Waiting")),"Yes","No"))</f>
        <v>Yes</v>
      </c>
      <c r="S117" s="66" t="str">
        <f aca="false">IF($A117="","",$C117&amp;" | "&amp;$D117)</f>
        <v>Employment | Investigation underway</v>
      </c>
      <c r="T117" s="66" t="str">
        <f aca="false">IF($A117="","",IF(AND($L117="Outside provider",OR($E117="Intake",$E117="Active",$E117="Waiting")),"Yes","No"))</f>
        <v>No</v>
      </c>
    </row>
    <row r="118" customFormat="false" ht="15" hidden="false" customHeight="true" outlineLevel="0" collapsed="false">
      <c r="A118" s="63" t="s">
        <v>686</v>
      </c>
      <c r="B118" s="63" t="s">
        <v>687</v>
      </c>
      <c r="C118" s="63" t="s">
        <v>459</v>
      </c>
      <c r="D118" s="63" t="s">
        <v>478</v>
      </c>
      <c r="E118" s="63" t="str">
        <f aca="false">IF($A118="","",IFERROR(INDEX('Status map'!$D$6:$D$64,MATCH($C118&amp;" | "&amp;$D118,'Status map'!$I$6:$I$64,0)),"Unmapped"))</f>
        <v>Closed</v>
      </c>
      <c r="F118" s="63" t="s">
        <v>448</v>
      </c>
      <c r="G118" s="69" t="n">
        <v>46181</v>
      </c>
      <c r="H118" s="69" t="n">
        <v>46239</v>
      </c>
      <c r="I118" s="69" t="n">
        <v>46239</v>
      </c>
      <c r="J118" s="63" t="s">
        <v>462</v>
      </c>
      <c r="K118" s="63" t="s">
        <v>462</v>
      </c>
      <c r="L118" s="63" t="s">
        <v>451</v>
      </c>
      <c r="M118" s="66" t="str">
        <f aca="false">IF(OR($A118="",$H118&lt;&gt;""),"",Targets!$C$8-$I118)</f>
        <v/>
      </c>
      <c r="N118" s="66" t="str">
        <f aca="false">IF($A118="","",IF(AND($F118="Project",$E118="Active",$M118&lt;&gt;"",$M118&gt;Targets!$C$12),"Yes","No"))</f>
        <v>No</v>
      </c>
      <c r="O118" s="66" t="str">
        <f aca="false">IF($A118="","",IF(AND($G118&gt;=Targets!$C$7,$G118&lt;=Targets!$C$8),"Yes","No"))</f>
        <v>No</v>
      </c>
      <c r="P118" s="66" t="str">
        <f aca="false">IF($A118="","",IF(AND($H118&lt;&gt;"",$H118&gt;=Targets!$C$7,$H118&lt;=Targets!$C$8),"Yes","No"))</f>
        <v>Yes</v>
      </c>
      <c r="Q118" s="66" t="str">
        <f aca="false">IF($A118="","",IF(AND($F118="Project",$E118&lt;&gt;"Closed",$E118&lt;&gt;"Dormant"),"Yes","No"))</f>
        <v>No</v>
      </c>
      <c r="R118" s="66" t="str">
        <f aca="false">IF($A118="","",IF(AND($L118="In-house",OR($E118="Intake",$E118="Active",$E118="Waiting")),"Yes","No"))</f>
        <v>No</v>
      </c>
      <c r="S118" s="66" t="str">
        <f aca="false">IF($A118="","",$C118&amp;" | "&amp;$D118)</f>
        <v>Contracts | Executed</v>
      </c>
      <c r="T118" s="66" t="str">
        <f aca="false">IF($A118="","",IF(AND($L118="Outside provider",OR($E118="Intake",$E118="Active",$E118="Waiting")),"Yes","No"))</f>
        <v>No</v>
      </c>
    </row>
    <row r="119" customFormat="false" ht="15" hidden="false" customHeight="true" outlineLevel="0" collapsed="false">
      <c r="A119" s="67" t="s">
        <v>250</v>
      </c>
      <c r="B119" s="67" t="s">
        <v>688</v>
      </c>
      <c r="C119" s="67" t="s">
        <v>454</v>
      </c>
      <c r="D119" s="67" t="s">
        <v>657</v>
      </c>
      <c r="E119" s="67" t="str">
        <f aca="false">IF($A119="","",IFERROR(INDEX('Status map'!$D$6:$D$64,MATCH($C119&amp;" | "&amp;$D119,'Status map'!$I$6:$I$64,0)),"Unmapped"))</f>
        <v>Waiting</v>
      </c>
      <c r="F119" s="67" t="s">
        <v>448</v>
      </c>
      <c r="G119" s="70" t="n">
        <v>46252</v>
      </c>
      <c r="H119" s="70"/>
      <c r="I119" s="70" t="n">
        <v>46259</v>
      </c>
      <c r="J119" s="67" t="s">
        <v>462</v>
      </c>
      <c r="K119" s="67" t="s">
        <v>474</v>
      </c>
      <c r="L119" s="67" t="s">
        <v>451</v>
      </c>
      <c r="M119" s="66" t="n">
        <f aca="false">IF(OR($A119="",$H119&lt;&gt;""),"",Targets!$C$8-$I119)</f>
        <v>6</v>
      </c>
      <c r="N119" s="66" t="str">
        <f aca="false">IF($A119="","",IF(AND($F119="Project",$E119="Active",$M119&lt;&gt;"",$M119&gt;Targets!$C$12),"Yes","No"))</f>
        <v>No</v>
      </c>
      <c r="O119" s="66" t="str">
        <f aca="false">IF($A119="","",IF(AND($G119&gt;=Targets!$C$7,$G119&lt;=Targets!$C$8),"Yes","No"))</f>
        <v>Yes</v>
      </c>
      <c r="P119" s="66" t="str">
        <f aca="false">IF($A119="","",IF(AND($H119&lt;&gt;"",$H119&gt;=Targets!$C$7,$H119&lt;=Targets!$C$8),"Yes","No"))</f>
        <v>No</v>
      </c>
      <c r="Q119" s="66" t="str">
        <f aca="false">IF($A119="","",IF(AND($F119="Project",$E119&lt;&gt;"Closed",$E119&lt;&gt;"Dormant"),"Yes","No"))</f>
        <v>Yes</v>
      </c>
      <c r="R119" s="66" t="str">
        <f aca="false">IF($A119="","",IF(AND($L119="In-house",OR($E119="Intake",$E119="Active",$E119="Waiting")),"Yes","No"))</f>
        <v>Yes</v>
      </c>
      <c r="S119" s="66" t="str">
        <f aca="false">IF($A119="","",$C119&amp;" | "&amp;$D119)</f>
        <v>Litigation | Awaiting a ruling, a hearing date, or the other side</v>
      </c>
      <c r="T119" s="66" t="str">
        <f aca="false">IF($A119="","",IF(AND($L119="Outside provider",OR($E119="Intake",$E119="Active",$E119="Waiting")),"Yes","No"))</f>
        <v>No</v>
      </c>
    </row>
    <row r="120" customFormat="false" ht="15" hidden="false" customHeight="true" outlineLevel="0" collapsed="false">
      <c r="A120" s="63" t="s">
        <v>689</v>
      </c>
      <c r="B120" s="63" t="s">
        <v>690</v>
      </c>
      <c r="C120" s="63" t="s">
        <v>501</v>
      </c>
      <c r="D120" s="63" t="s">
        <v>502</v>
      </c>
      <c r="E120" s="63" t="str">
        <f aca="false">IF($A120="","",IFERROR(INDEX('Status map'!$D$6:$D$64,MATCH($C120&amp;" | "&amp;$D120,'Status map'!$I$6:$I$64,0)),"Unmapped"))</f>
        <v>Closed</v>
      </c>
      <c r="F120" s="63" t="s">
        <v>448</v>
      </c>
      <c r="G120" s="69" t="n">
        <v>46088</v>
      </c>
      <c r="H120" s="69" t="n">
        <v>46195</v>
      </c>
      <c r="I120" s="69" t="n">
        <v>46195</v>
      </c>
      <c r="J120" s="63" t="s">
        <v>450</v>
      </c>
      <c r="K120" s="63" t="s">
        <v>456</v>
      </c>
      <c r="L120" s="63" t="s">
        <v>451</v>
      </c>
      <c r="M120" s="66" t="str">
        <f aca="false">IF(OR($A120="",$H120&lt;&gt;""),"",Targets!$C$8-$I120)</f>
        <v/>
      </c>
      <c r="N120" s="66" t="str">
        <f aca="false">IF($A120="","",IF(AND($F120="Project",$E120="Active",$M120&lt;&gt;"",$M120&gt;Targets!$C$12),"Yes","No"))</f>
        <v>No</v>
      </c>
      <c r="O120" s="66" t="str">
        <f aca="false">IF($A120="","",IF(AND($G120&gt;=Targets!$C$7,$G120&lt;=Targets!$C$8),"Yes","No"))</f>
        <v>No</v>
      </c>
      <c r="P120" s="66" t="str">
        <f aca="false">IF($A120="","",IF(AND($H120&lt;&gt;"",$H120&gt;=Targets!$C$7,$H120&lt;=Targets!$C$8),"Yes","No"))</f>
        <v>No</v>
      </c>
      <c r="Q120" s="66" t="str">
        <f aca="false">IF($A120="","",IF(AND($F120="Project",$E120&lt;&gt;"Closed",$E120&lt;&gt;"Dormant"),"Yes","No"))</f>
        <v>No</v>
      </c>
      <c r="R120" s="66" t="str">
        <f aca="false">IF($A120="","",IF(AND($L120="In-house",OR($E120="Intake",$E120="Active",$E120="Waiting")),"Yes","No"))</f>
        <v>No</v>
      </c>
      <c r="S120" s="66" t="str">
        <f aca="false">IF($A120="","",$C120&amp;" | "&amp;$D120)</f>
        <v>M&amp;A and corporate deals | Deal closed</v>
      </c>
      <c r="T120" s="66" t="str">
        <f aca="false">IF($A120="","",IF(AND($L120="Outside provider",OR($E120="Intake",$E120="Active",$E120="Waiting")),"Yes","No"))</f>
        <v>No</v>
      </c>
    </row>
    <row r="121" customFormat="false" ht="15" hidden="false" customHeight="true" outlineLevel="0" collapsed="false">
      <c r="A121" s="67" t="s">
        <v>691</v>
      </c>
      <c r="B121" s="67" t="s">
        <v>596</v>
      </c>
      <c r="C121" s="67" t="s">
        <v>446</v>
      </c>
      <c r="D121" s="67" t="s">
        <v>545</v>
      </c>
      <c r="E121" s="67" t="str">
        <f aca="false">IF($A121="","",IFERROR(INDEX('Status map'!$D$6:$D$64,MATCH($C121&amp;" | "&amp;$D121,'Status map'!$I$6:$I$64,0)),"Unmapped"))</f>
        <v>Active</v>
      </c>
      <c r="F121" s="67" t="s">
        <v>448</v>
      </c>
      <c r="G121" s="70" t="n">
        <v>46157</v>
      </c>
      <c r="H121" s="70"/>
      <c r="I121" s="70" t="n">
        <v>46261</v>
      </c>
      <c r="J121" s="67" t="s">
        <v>461</v>
      </c>
      <c r="K121" s="67" t="s">
        <v>462</v>
      </c>
      <c r="L121" s="67" t="s">
        <v>451</v>
      </c>
      <c r="M121" s="66" t="n">
        <f aca="false">IF(OR($A121="",$H121&lt;&gt;""),"",Targets!$C$8-$I121)</f>
        <v>4</v>
      </c>
      <c r="N121" s="66" t="str">
        <f aca="false">IF($A121="","",IF(AND($F121="Project",$E121="Active",$M121&lt;&gt;"",$M121&gt;Targets!$C$12),"Yes","No"))</f>
        <v>No</v>
      </c>
      <c r="O121" s="66" t="str">
        <f aca="false">IF($A121="","",IF(AND($G121&gt;=Targets!$C$7,$G121&lt;=Targets!$C$8),"Yes","No"))</f>
        <v>No</v>
      </c>
      <c r="P121" s="66" t="str">
        <f aca="false">IF($A121="","",IF(AND($H121&lt;&gt;"",$H121&gt;=Targets!$C$7,$H121&lt;=Targets!$C$8),"Yes","No"))</f>
        <v>No</v>
      </c>
      <c r="Q121" s="66" t="str">
        <f aca="false">IF($A121="","",IF(AND($F121="Project",$E121&lt;&gt;"Closed",$E121&lt;&gt;"Dormant"),"Yes","No"))</f>
        <v>Yes</v>
      </c>
      <c r="R121" s="66" t="str">
        <f aca="false">IF($A121="","",IF(AND($L121="In-house",OR($E121="Intake",$E121="Active",$E121="Waiting")),"Yes","No"))</f>
        <v>Yes</v>
      </c>
      <c r="S121" s="66" t="str">
        <f aca="false">IF($A121="","",$C121&amp;" | "&amp;$D121)</f>
        <v>Employment | Investigation underway</v>
      </c>
      <c r="T121" s="66" t="str">
        <f aca="false">IF($A121="","",IF(AND($L121="Outside provider",OR($E121="Intake",$E121="Active",$E121="Waiting")),"Yes","No"))</f>
        <v>No</v>
      </c>
    </row>
    <row r="122" customFormat="false" ht="15" hidden="false" customHeight="true" outlineLevel="0" collapsed="false">
      <c r="A122" s="63" t="s">
        <v>692</v>
      </c>
      <c r="B122" s="63" t="s">
        <v>693</v>
      </c>
      <c r="C122" s="63" t="s">
        <v>446</v>
      </c>
      <c r="D122" s="63" t="s">
        <v>473</v>
      </c>
      <c r="E122" s="63" t="str">
        <f aca="false">IF($A122="","",IFERROR(INDEX('Status map'!$D$6:$D$64,MATCH($C122&amp;" | "&amp;$D122,'Status map'!$I$6:$I$64,0)),"Unmapped"))</f>
        <v>Closed</v>
      </c>
      <c r="F122" s="63" t="s">
        <v>448</v>
      </c>
      <c r="G122" s="69" t="n">
        <v>46102</v>
      </c>
      <c r="H122" s="69" t="n">
        <v>46229</v>
      </c>
      <c r="I122" s="69" t="n">
        <v>46229</v>
      </c>
      <c r="J122" s="63" t="s">
        <v>449</v>
      </c>
      <c r="K122" s="63" t="s">
        <v>456</v>
      </c>
      <c r="L122" s="63" t="s">
        <v>451</v>
      </c>
      <c r="M122" s="66" t="str">
        <f aca="false">IF(OR($A122="",$H122&lt;&gt;""),"",Targets!$C$8-$I122)</f>
        <v/>
      </c>
      <c r="N122" s="66" t="str">
        <f aca="false">IF($A122="","",IF(AND($F122="Project",$E122="Active",$M122&lt;&gt;"",$M122&gt;Targets!$C$12),"Yes","No"))</f>
        <v>No</v>
      </c>
      <c r="O122" s="66" t="str">
        <f aca="false">IF($A122="","",IF(AND($G122&gt;=Targets!$C$7,$G122&lt;=Targets!$C$8),"Yes","No"))</f>
        <v>No</v>
      </c>
      <c r="P122" s="66" t="str">
        <f aca="false">IF($A122="","",IF(AND($H122&lt;&gt;"",$H122&gt;=Targets!$C$7,$H122&lt;=Targets!$C$8),"Yes","No"))</f>
        <v>No</v>
      </c>
      <c r="Q122" s="66" t="str">
        <f aca="false">IF($A122="","",IF(AND($F122="Project",$E122&lt;&gt;"Closed",$E122&lt;&gt;"Dormant"),"Yes","No"))</f>
        <v>No</v>
      </c>
      <c r="R122" s="66" t="str">
        <f aca="false">IF($A122="","",IF(AND($L122="In-house",OR($E122="Intake",$E122="Active",$E122="Waiting")),"Yes","No"))</f>
        <v>No</v>
      </c>
      <c r="S122" s="66" t="str">
        <f aca="false">IF($A122="","",$C122&amp;" | "&amp;$D122)</f>
        <v>Employment | Resolved or closed</v>
      </c>
      <c r="T122" s="66" t="str">
        <f aca="false">IF($A122="","",IF(AND($L122="Outside provider",OR($E122="Intake",$E122="Active",$E122="Waiting")),"Yes","No"))</f>
        <v>No</v>
      </c>
    </row>
    <row r="123" customFormat="false" ht="15" hidden="false" customHeight="true" outlineLevel="0" collapsed="false">
      <c r="A123" s="67" t="s">
        <v>694</v>
      </c>
      <c r="B123" s="67" t="s">
        <v>695</v>
      </c>
      <c r="C123" s="67" t="s">
        <v>459</v>
      </c>
      <c r="D123" s="67" t="s">
        <v>460</v>
      </c>
      <c r="E123" s="67" t="str">
        <f aca="false">IF($A123="","",IFERROR(INDEX('Status map'!$D$6:$D$64,MATCH($C123&amp;" | "&amp;$D123,'Status map'!$I$6:$I$64,0)),"Unmapped"))</f>
        <v>Waiting</v>
      </c>
      <c r="F123" s="67" t="s">
        <v>448</v>
      </c>
      <c r="G123" s="70" t="n">
        <v>46000</v>
      </c>
      <c r="H123" s="70"/>
      <c r="I123" s="70" t="n">
        <v>46247</v>
      </c>
      <c r="J123" s="67" t="s">
        <v>456</v>
      </c>
      <c r="K123" s="67" t="s">
        <v>470</v>
      </c>
      <c r="L123" s="67" t="s">
        <v>451</v>
      </c>
      <c r="M123" s="66" t="n">
        <f aca="false">IF(OR($A123="",$H123&lt;&gt;""),"",Targets!$C$8-$I123)</f>
        <v>18</v>
      </c>
      <c r="N123" s="66" t="str">
        <f aca="false">IF($A123="","",IF(AND($F123="Project",$E123="Active",$M123&lt;&gt;"",$M123&gt;Targets!$C$12),"Yes","No"))</f>
        <v>No</v>
      </c>
      <c r="O123" s="66" t="str">
        <f aca="false">IF($A123="","",IF(AND($G123&gt;=Targets!$C$7,$G123&lt;=Targets!$C$8),"Yes","No"))</f>
        <v>No</v>
      </c>
      <c r="P123" s="66" t="str">
        <f aca="false">IF($A123="","",IF(AND($H123&lt;&gt;"",$H123&gt;=Targets!$C$7,$H123&lt;=Targets!$C$8),"Yes","No"))</f>
        <v>No</v>
      </c>
      <c r="Q123" s="66" t="str">
        <f aca="false">IF($A123="","",IF(AND($F123="Project",$E123&lt;&gt;"Closed",$E123&lt;&gt;"Dormant"),"Yes","No"))</f>
        <v>Yes</v>
      </c>
      <c r="R123" s="66" t="str">
        <f aca="false">IF($A123="","",IF(AND($L123="In-house",OR($E123="Intake",$E123="Active",$E123="Waiting")),"Yes","No"))</f>
        <v>Yes</v>
      </c>
      <c r="S123" s="66" t="str">
        <f aca="false">IF($A123="","",$C123&amp;" | "&amp;$D123)</f>
        <v>Contracts | Out for signature or awaiting the counterparty</v>
      </c>
      <c r="T123" s="66" t="str">
        <f aca="false">IF($A123="","",IF(AND($L123="Outside provider",OR($E123="Intake",$E123="Active",$E123="Waiting")),"Yes","No"))</f>
        <v>No</v>
      </c>
    </row>
    <row r="124" customFormat="false" ht="15" hidden="false" customHeight="true" outlineLevel="0" collapsed="false">
      <c r="A124" s="63" t="s">
        <v>696</v>
      </c>
      <c r="B124" s="63" t="s">
        <v>697</v>
      </c>
      <c r="C124" s="63" t="s">
        <v>454</v>
      </c>
      <c r="D124" s="63" t="s">
        <v>455</v>
      </c>
      <c r="E124" s="63" t="str">
        <f aca="false">IF($A124="","",IFERROR(INDEX('Status map'!$D$6:$D$64,MATCH($C124&amp;" | "&amp;$D124,'Status map'!$I$6:$I$64,0)),"Unmapped"))</f>
        <v>Closed</v>
      </c>
      <c r="F124" s="63" t="s">
        <v>448</v>
      </c>
      <c r="G124" s="69" t="n">
        <v>45864</v>
      </c>
      <c r="H124" s="69" t="n">
        <v>46014</v>
      </c>
      <c r="I124" s="69" t="n">
        <v>46014</v>
      </c>
      <c r="J124" s="63" t="s">
        <v>492</v>
      </c>
      <c r="K124" s="63" t="s">
        <v>456</v>
      </c>
      <c r="L124" s="63" t="s">
        <v>451</v>
      </c>
      <c r="M124" s="66" t="str">
        <f aca="false">IF(OR($A124="",$H124&lt;&gt;""),"",Targets!$C$8-$I124)</f>
        <v/>
      </c>
      <c r="N124" s="66" t="str">
        <f aca="false">IF($A124="","",IF(AND($F124="Project",$E124="Active",$M124&lt;&gt;"",$M124&gt;Targets!$C$12),"Yes","No"))</f>
        <v>No</v>
      </c>
      <c r="O124" s="66" t="str">
        <f aca="false">IF($A124="","",IF(AND($G124&gt;=Targets!$C$7,$G124&lt;=Targets!$C$8),"Yes","No"))</f>
        <v>No</v>
      </c>
      <c r="P124" s="66" t="str">
        <f aca="false">IF($A124="","",IF(AND($H124&lt;&gt;"",$H124&gt;=Targets!$C$7,$H124&lt;=Targets!$C$8),"Yes","No"))</f>
        <v>No</v>
      </c>
      <c r="Q124" s="66" t="str">
        <f aca="false">IF($A124="","",IF(AND($F124="Project",$E124&lt;&gt;"Closed",$E124&lt;&gt;"Dormant"),"Yes","No"))</f>
        <v>No</v>
      </c>
      <c r="R124" s="66" t="str">
        <f aca="false">IF($A124="","",IF(AND($L124="In-house",OR($E124="Intake",$E124="Active",$E124="Waiting")),"Yes","No"))</f>
        <v>No</v>
      </c>
      <c r="S124" s="66" t="str">
        <f aca="false">IF($A124="","",$C124&amp;" | "&amp;$D124)</f>
        <v>Litigation | Settled, dismissed, or judgment entered</v>
      </c>
      <c r="T124" s="66" t="str">
        <f aca="false">IF($A124="","",IF(AND($L124="Outside provider",OR($E124="Intake",$E124="Active",$E124="Waiting")),"Yes","No"))</f>
        <v>No</v>
      </c>
    </row>
    <row r="125" customFormat="false" ht="15" hidden="false" customHeight="true" outlineLevel="0" collapsed="false">
      <c r="A125" s="67" t="s">
        <v>698</v>
      </c>
      <c r="B125" s="67" t="s">
        <v>699</v>
      </c>
      <c r="C125" s="67" t="s">
        <v>446</v>
      </c>
      <c r="D125" s="67" t="s">
        <v>563</v>
      </c>
      <c r="E125" s="67" t="str">
        <f aca="false">IF($A125="","",IFERROR(INDEX('Status map'!$D$6:$D$64,MATCH($C125&amp;" | "&amp;$D125,'Status map'!$I$6:$I$64,0)),"Unmapped"))</f>
        <v>Waiting</v>
      </c>
      <c r="F125" s="67" t="s">
        <v>448</v>
      </c>
      <c r="G125" s="70" t="n">
        <v>46193</v>
      </c>
      <c r="H125" s="70"/>
      <c r="I125" s="70" t="n">
        <v>46249</v>
      </c>
      <c r="J125" s="67" t="s">
        <v>461</v>
      </c>
      <c r="K125" s="67" t="s">
        <v>470</v>
      </c>
      <c r="L125" s="67" t="s">
        <v>451</v>
      </c>
      <c r="M125" s="66" t="n">
        <f aca="false">IF(OR($A125="",$H125&lt;&gt;""),"",Targets!$C$8-$I125)</f>
        <v>16</v>
      </c>
      <c r="N125" s="66" t="str">
        <f aca="false">IF($A125="","",IF(AND($F125="Project",$E125="Active",$M125&lt;&gt;"",$M125&gt;Targets!$C$12),"Yes","No"))</f>
        <v>No</v>
      </c>
      <c r="O125" s="66" t="str">
        <f aca="false">IF($A125="","",IF(AND($G125&gt;=Targets!$C$7,$G125&lt;=Targets!$C$8),"Yes","No"))</f>
        <v>No</v>
      </c>
      <c r="P125" s="66" t="str">
        <f aca="false">IF($A125="","",IF(AND($H125&lt;&gt;"",$H125&gt;=Targets!$C$7,$H125&lt;=Targets!$C$8),"Yes","No"))</f>
        <v>No</v>
      </c>
      <c r="Q125" s="66" t="str">
        <f aca="false">IF($A125="","",IF(AND($F125="Project",$E125&lt;&gt;"Closed",$E125&lt;&gt;"Dormant"),"Yes","No"))</f>
        <v>Yes</v>
      </c>
      <c r="R125" s="66" t="str">
        <f aca="false">IF($A125="","",IF(AND($L125="In-house",OR($E125="Intake",$E125="Active",$E125="Waiting")),"Yes","No"))</f>
        <v>Yes</v>
      </c>
      <c r="S125" s="66" t="str">
        <f aca="false">IF($A125="","",$C125&amp;" | "&amp;$D125)</f>
        <v>Employment | Awaiting the employee, an agency, or outside counsel</v>
      </c>
      <c r="T125" s="66" t="str">
        <f aca="false">IF($A125="","",IF(AND($L125="Outside provider",OR($E125="Intake",$E125="Active",$E125="Waiting")),"Yes","No"))</f>
        <v>No</v>
      </c>
    </row>
    <row r="126" customFormat="false" ht="15" hidden="false" customHeight="true" outlineLevel="0" collapsed="false">
      <c r="A126" s="63" t="s">
        <v>700</v>
      </c>
      <c r="B126" s="63" t="s">
        <v>701</v>
      </c>
      <c r="C126" s="63" t="s">
        <v>459</v>
      </c>
      <c r="D126" s="63" t="s">
        <v>481</v>
      </c>
      <c r="E126" s="63" t="str">
        <f aca="false">IF($A126="","",IFERROR(INDEX('Status map'!$D$6:$D$64,MATCH($C126&amp;" | "&amp;$D126,'Status map'!$I$6:$I$64,0)),"Unmapped"))</f>
        <v>Closed</v>
      </c>
      <c r="F126" s="63" t="s">
        <v>448</v>
      </c>
      <c r="G126" s="69" t="n">
        <v>46154</v>
      </c>
      <c r="H126" s="69" t="n">
        <v>46227</v>
      </c>
      <c r="I126" s="69" t="n">
        <v>46227</v>
      </c>
      <c r="J126" s="63" t="s">
        <v>474</v>
      </c>
      <c r="K126" s="63" t="s">
        <v>664</v>
      </c>
      <c r="L126" s="63" t="s">
        <v>496</v>
      </c>
      <c r="M126" s="66" t="str">
        <f aca="false">IF(OR($A126="",$H126&lt;&gt;""),"",Targets!$C$8-$I126)</f>
        <v/>
      </c>
      <c r="N126" s="66" t="str">
        <f aca="false">IF($A126="","",IF(AND($F126="Project",$E126="Active",$M126&lt;&gt;"",$M126&gt;Targets!$C$12),"Yes","No"))</f>
        <v>No</v>
      </c>
      <c r="O126" s="66" t="str">
        <f aca="false">IF($A126="","",IF(AND($G126&gt;=Targets!$C$7,$G126&lt;=Targets!$C$8),"Yes","No"))</f>
        <v>No</v>
      </c>
      <c r="P126" s="66" t="str">
        <f aca="false">IF($A126="","",IF(AND($H126&lt;&gt;"",$H126&gt;=Targets!$C$7,$H126&lt;=Targets!$C$8),"Yes","No"))</f>
        <v>No</v>
      </c>
      <c r="Q126" s="66" t="str">
        <f aca="false">IF($A126="","",IF(AND($F126="Project",$E126&lt;&gt;"Closed",$E126&lt;&gt;"Dormant"),"Yes","No"))</f>
        <v>No</v>
      </c>
      <c r="R126" s="66" t="str">
        <f aca="false">IF($A126="","",IF(AND($L126="In-house",OR($E126="Intake",$E126="Active",$E126="Waiting")),"Yes","No"))</f>
        <v>No</v>
      </c>
      <c r="S126" s="66" t="str">
        <f aca="false">IF($A126="","",$C126&amp;" | "&amp;$D126)</f>
        <v>Contracts | Expired or terminated</v>
      </c>
      <c r="T126" s="66" t="str">
        <f aca="false">IF($A126="","",IF(AND($L126="Outside provider",OR($E126="Intake",$E126="Active",$E126="Waiting")),"Yes","No"))</f>
        <v>No</v>
      </c>
    </row>
    <row r="127" customFormat="false" ht="15" hidden="false" customHeight="true" outlineLevel="0" collapsed="false">
      <c r="A127" s="67" t="s">
        <v>702</v>
      </c>
      <c r="B127" s="67" t="s">
        <v>703</v>
      </c>
      <c r="C127" s="67" t="s">
        <v>647</v>
      </c>
      <c r="D127" s="67" t="s">
        <v>648</v>
      </c>
      <c r="E127" s="67" t="str">
        <f aca="false">IF($A127="","",IFERROR(INDEX('Status map'!$D$6:$D$64,MATCH($C127&amp;" | "&amp;$D127,'Status map'!$I$6:$I$64,0)),"Unmapped"))</f>
        <v>Dormant</v>
      </c>
      <c r="F127" s="67" t="s">
        <v>510</v>
      </c>
      <c r="G127" s="70" t="n">
        <v>45154</v>
      </c>
      <c r="H127" s="70"/>
      <c r="I127" s="70" t="n">
        <v>46218</v>
      </c>
      <c r="J127" s="67" t="s">
        <v>474</v>
      </c>
      <c r="K127" s="67" t="s">
        <v>449</v>
      </c>
      <c r="L127" s="67" t="s">
        <v>451</v>
      </c>
      <c r="M127" s="66" t="n">
        <f aca="false">IF(OR($A127="",$H127&lt;&gt;""),"",Targets!$C$8-$I127)</f>
        <v>47</v>
      </c>
      <c r="N127" s="66" t="str">
        <f aca="false">IF($A127="","",IF(AND($F127="Project",$E127="Active",$M127&lt;&gt;"",$M127&gt;Targets!$C$12),"Yes","No"))</f>
        <v>No</v>
      </c>
      <c r="O127" s="66" t="str">
        <f aca="false">IF($A127="","",IF(AND($G127&gt;=Targets!$C$7,$G127&lt;=Targets!$C$8),"Yes","No"))</f>
        <v>No</v>
      </c>
      <c r="P127" s="66" t="str">
        <f aca="false">IF($A127="","",IF(AND($H127&lt;&gt;"",$H127&gt;=Targets!$C$7,$H127&lt;=Targets!$C$8),"Yes","No"))</f>
        <v>No</v>
      </c>
      <c r="Q127" s="66" t="str">
        <f aca="false">IF($A127="","",IF(AND($F127="Project",$E127&lt;&gt;"Closed",$E127&lt;&gt;"Dormant"),"Yes","No"))</f>
        <v>No</v>
      </c>
      <c r="R127" s="66" t="str">
        <f aca="false">IF($A127="","",IF(AND($L127="In-house",OR($E127="Intake",$E127="Active",$E127="Waiting")),"Yes","No"))</f>
        <v>No</v>
      </c>
      <c r="S127" s="66" t="str">
        <f aca="false">IF($A127="","",$C127&amp;" | "&amp;$D127)</f>
        <v>IP: patents and trademarks | Issued or registered, in maintenance</v>
      </c>
      <c r="T127" s="66" t="str">
        <f aca="false">IF($A127="","",IF(AND($L127="Outside provider",OR($E127="Intake",$E127="Active",$E127="Waiting")),"Yes","No"))</f>
        <v>No</v>
      </c>
    </row>
    <row r="128" customFormat="false" ht="15" hidden="false" customHeight="true" outlineLevel="0" collapsed="false">
      <c r="A128" s="63" t="s">
        <v>704</v>
      </c>
      <c r="B128" s="63" t="s">
        <v>705</v>
      </c>
      <c r="C128" s="63" t="s">
        <v>465</v>
      </c>
      <c r="D128" s="63" t="s">
        <v>469</v>
      </c>
      <c r="E128" s="63" t="str">
        <f aca="false">IF($A128="","",IFERROR(INDEX('Status map'!$D$6:$D$64,MATCH($C128&amp;" | "&amp;$D128,'Status map'!$I$6:$I$64,0)),"Unmapped"))</f>
        <v>Active</v>
      </c>
      <c r="F128" s="63" t="s">
        <v>448</v>
      </c>
      <c r="G128" s="69" t="n">
        <v>46055</v>
      </c>
      <c r="H128" s="69"/>
      <c r="I128" s="69" t="n">
        <v>46241</v>
      </c>
      <c r="J128" s="63" t="s">
        <v>461</v>
      </c>
      <c r="K128" s="63" t="s">
        <v>449</v>
      </c>
      <c r="L128" s="63" t="s">
        <v>451</v>
      </c>
      <c r="M128" s="66" t="n">
        <f aca="false">IF(OR($A128="",$H128&lt;&gt;""),"",Targets!$C$8-$I128)</f>
        <v>24</v>
      </c>
      <c r="N128" s="66" t="str">
        <f aca="false">IF($A128="","",IF(AND($F128="Project",$E128="Active",$M128&lt;&gt;"",$M128&gt;Targets!$C$12),"Yes","No"))</f>
        <v>No</v>
      </c>
      <c r="O128" s="66" t="str">
        <f aca="false">IF($A128="","",IF(AND($G128&gt;=Targets!$C$7,$G128&lt;=Targets!$C$8),"Yes","No"))</f>
        <v>No</v>
      </c>
      <c r="P128" s="66" t="str">
        <f aca="false">IF($A128="","",IF(AND($H128&lt;&gt;"",$H128&gt;=Targets!$C$7,$H128&lt;=Targets!$C$8),"Yes","No"))</f>
        <v>No</v>
      </c>
      <c r="Q128" s="66" t="str">
        <f aca="false">IF($A128="","",IF(AND($F128="Project",$E128&lt;&gt;"Closed",$E128&lt;&gt;"Dormant"),"Yes","No"))</f>
        <v>Yes</v>
      </c>
      <c r="R128" s="66" t="str">
        <f aca="false">IF($A128="","",IF(AND($L128="In-house",OR($E128="Intake",$E128="Active",$E128="Waiting")),"Yes","No"))</f>
        <v>Yes</v>
      </c>
      <c r="S128" s="66" t="str">
        <f aca="false">IF($A128="","",$C128&amp;" | "&amp;$D128)</f>
        <v>Immigration and visas | Petition or an evidence response being prepared</v>
      </c>
      <c r="T128" s="66" t="str">
        <f aca="false">IF($A128="","",IF(AND($L128="Outside provider",OR($E128="Intake",$E128="Active",$E128="Waiting")),"Yes","No"))</f>
        <v>No</v>
      </c>
    </row>
    <row r="129" customFormat="false" ht="15" hidden="false" customHeight="true" outlineLevel="0" collapsed="false">
      <c r="A129" s="67" t="s">
        <v>706</v>
      </c>
      <c r="B129" s="67" t="s">
        <v>688</v>
      </c>
      <c r="C129" s="67" t="s">
        <v>454</v>
      </c>
      <c r="D129" s="67" t="s">
        <v>514</v>
      </c>
      <c r="E129" s="67" t="str">
        <f aca="false">IF($A129="","",IFERROR(INDEX('Status map'!$D$6:$D$64,MATCH($C129&amp;" | "&amp;$D129,'Status map'!$I$6:$I$64,0)),"Unmapped"))</f>
        <v>Active</v>
      </c>
      <c r="F129" s="67" t="s">
        <v>448</v>
      </c>
      <c r="G129" s="70" t="n">
        <v>46048</v>
      </c>
      <c r="H129" s="70"/>
      <c r="I129" s="70" t="n">
        <v>46253</v>
      </c>
      <c r="J129" s="67" t="s">
        <v>492</v>
      </c>
      <c r="K129" s="67" t="s">
        <v>449</v>
      </c>
      <c r="L129" s="67" t="s">
        <v>451</v>
      </c>
      <c r="M129" s="66" t="n">
        <f aca="false">IF(OR($A129="",$H129&lt;&gt;""),"",Targets!$C$8-$I129)</f>
        <v>12</v>
      </c>
      <c r="N129" s="66" t="str">
        <f aca="false">IF($A129="","",IF(AND($F129="Project",$E129="Active",$M129&lt;&gt;"",$M129&gt;Targets!$C$12),"Yes","No"))</f>
        <v>No</v>
      </c>
      <c r="O129" s="66" t="str">
        <f aca="false">IF($A129="","",IF(AND($G129&gt;=Targets!$C$7,$G129&lt;=Targets!$C$8),"Yes","No"))</f>
        <v>No</v>
      </c>
      <c r="P129" s="66" t="str">
        <f aca="false">IF($A129="","",IF(AND($H129&lt;&gt;"",$H129&gt;=Targets!$C$7,$H129&lt;=Targets!$C$8),"Yes","No"))</f>
        <v>No</v>
      </c>
      <c r="Q129" s="66" t="str">
        <f aca="false">IF($A129="","",IF(AND($F129="Project",$E129&lt;&gt;"Closed",$E129&lt;&gt;"Dormant"),"Yes","No"))</f>
        <v>Yes</v>
      </c>
      <c r="R129" s="66" t="str">
        <f aca="false">IF($A129="","",IF(AND($L129="In-house",OR($E129="Intake",$E129="Active",$E129="Waiting")),"Yes","No"))</f>
        <v>Yes</v>
      </c>
      <c r="S129" s="66" t="str">
        <f aca="false">IF($A129="","",$C129&amp;" | "&amp;$D129)</f>
        <v>Litigation | Active discovery, motions, or trial prep</v>
      </c>
      <c r="T129" s="66" t="str">
        <f aca="false">IF($A129="","",IF(AND($L129="Outside provider",OR($E129="Intake",$E129="Active",$E129="Waiting")),"Yes","No"))</f>
        <v>No</v>
      </c>
    </row>
    <row r="130" customFormat="false" ht="15" hidden="false" customHeight="true" outlineLevel="0" collapsed="false">
      <c r="A130" s="63" t="s">
        <v>351</v>
      </c>
      <c r="B130" s="63" t="s">
        <v>707</v>
      </c>
      <c r="C130" s="63" t="s">
        <v>465</v>
      </c>
      <c r="D130" s="63" t="s">
        <v>506</v>
      </c>
      <c r="E130" s="63" t="str">
        <f aca="false">IF($A130="","",IFERROR(INDEX('Status map'!$D$6:$D$64,MATCH($C130&amp;" | "&amp;$D130,'Status map'!$I$6:$I$64,0)),"Unmapped"))</f>
        <v>Intake</v>
      </c>
      <c r="F130" s="63" t="s">
        <v>448</v>
      </c>
      <c r="G130" s="69" t="n">
        <v>46240</v>
      </c>
      <c r="H130" s="69"/>
      <c r="I130" s="69" t="n">
        <v>46244</v>
      </c>
      <c r="J130" s="63" t="s">
        <v>449</v>
      </c>
      <c r="K130" s="63" t="s">
        <v>450</v>
      </c>
      <c r="L130" s="63" t="s">
        <v>451</v>
      </c>
      <c r="M130" s="66" t="n">
        <f aca="false">IF(OR($A130="",$H130&lt;&gt;""),"",Targets!$C$8-$I130)</f>
        <v>21</v>
      </c>
      <c r="N130" s="66" t="str">
        <f aca="false">IF($A130="","",IF(AND($F130="Project",$E130="Active",$M130&lt;&gt;"",$M130&gt;Targets!$C$12),"Yes","No"))</f>
        <v>No</v>
      </c>
      <c r="O130" s="66" t="str">
        <f aca="false">IF($A130="","",IF(AND($G130&gt;=Targets!$C$7,$G130&lt;=Targets!$C$8),"Yes","No"))</f>
        <v>Yes</v>
      </c>
      <c r="P130" s="66" t="str">
        <f aca="false">IF($A130="","",IF(AND($H130&lt;&gt;"",$H130&gt;=Targets!$C$7,$H130&lt;=Targets!$C$8),"Yes","No"))</f>
        <v>No</v>
      </c>
      <c r="Q130" s="66" t="str">
        <f aca="false">IF($A130="","",IF(AND($F130="Project",$E130&lt;&gt;"Closed",$E130&lt;&gt;"Dormant"),"Yes","No"))</f>
        <v>Yes</v>
      </c>
      <c r="R130" s="66" t="str">
        <f aca="false">IF($A130="","",IF(AND($L130="In-house",OR($E130="Intake",$E130="Active",$E130="Waiting")),"Yes","No"))</f>
        <v>Yes</v>
      </c>
      <c r="S130" s="66" t="str">
        <f aca="false">IF($A130="","",$C130&amp;" | "&amp;$D130)</f>
        <v>Immigration and visas | Case opened, gathering documents</v>
      </c>
      <c r="T130" s="66" t="str">
        <f aca="false">IF($A130="","",IF(AND($L130="Outside provider",OR($E130="Intake",$E130="Active",$E130="Waiting")),"Yes","No"))</f>
        <v>No</v>
      </c>
    </row>
    <row r="131" customFormat="false" ht="15" hidden="false" customHeight="true" outlineLevel="0" collapsed="false">
      <c r="A131" s="67" t="s">
        <v>708</v>
      </c>
      <c r="B131" s="67" t="s">
        <v>709</v>
      </c>
      <c r="C131" s="67" t="s">
        <v>487</v>
      </c>
      <c r="D131" s="67" t="s">
        <v>636</v>
      </c>
      <c r="E131" s="67" t="str">
        <f aca="false">IF($A131="","",IFERROR(INDEX('Status map'!$D$6:$D$64,MATCH($C131&amp;" | "&amp;$D131,'Status map'!$I$6:$I$64,0)),"Unmapped"))</f>
        <v>Active</v>
      </c>
      <c r="F131" s="67" t="s">
        <v>482</v>
      </c>
      <c r="G131" s="70" t="n">
        <v>46204</v>
      </c>
      <c r="H131" s="70"/>
      <c r="I131" s="70" t="n">
        <v>46259</v>
      </c>
      <c r="J131" s="67" t="s">
        <v>474</v>
      </c>
      <c r="K131" s="67" t="s">
        <v>456</v>
      </c>
      <c r="L131" s="67" t="s">
        <v>451</v>
      </c>
      <c r="M131" s="66" t="n">
        <f aca="false">IF(OR($A131="",$H131&lt;&gt;""),"",Targets!$C$8-$I131)</f>
        <v>6</v>
      </c>
      <c r="N131" s="66" t="str">
        <f aca="false">IF($A131="","",IF(AND($F131="Project",$E131="Active",$M131&lt;&gt;"",$M131&gt;Targets!$C$12),"Yes","No"))</f>
        <v>No</v>
      </c>
      <c r="O131" s="66" t="str">
        <f aca="false">IF($A131="","",IF(AND($G131&gt;=Targets!$C$7,$G131&lt;=Targets!$C$8),"Yes","No"))</f>
        <v>No</v>
      </c>
      <c r="P131" s="66" t="str">
        <f aca="false">IF($A131="","",IF(AND($H131&lt;&gt;"",$H131&gt;=Targets!$C$7,$H131&lt;=Targets!$C$8),"Yes","No"))</f>
        <v>No</v>
      </c>
      <c r="Q131" s="66" t="str">
        <f aca="false">IF($A131="","",IF(AND($F131="Project",$E131&lt;&gt;"Closed",$E131&lt;&gt;"Dormant"),"Yes","No"))</f>
        <v>No</v>
      </c>
      <c r="R131" s="66" t="str">
        <f aca="false">IF($A131="","",IF(AND($L131="In-house",OR($E131="Intake",$E131="Active",$E131="Waiting")),"Yes","No"))</f>
        <v>Yes</v>
      </c>
      <c r="S131" s="66" t="str">
        <f aca="false">IF($A131="","",$C131&amp;" | "&amp;$D131)</f>
        <v>Corporate and entity management | Formation, change, or dissolution in progress</v>
      </c>
      <c r="T131" s="66" t="str">
        <f aca="false">IF($A131="","",IF(AND($L131="Outside provider",OR($E131="Intake",$E131="Active",$E131="Waiting")),"Yes","No"))</f>
        <v>No</v>
      </c>
    </row>
    <row r="132" customFormat="false" ht="15" hidden="false" customHeight="true" outlineLevel="0" collapsed="false">
      <c r="A132" s="63" t="s">
        <v>243</v>
      </c>
      <c r="B132" s="63" t="s">
        <v>710</v>
      </c>
      <c r="C132" s="63" t="s">
        <v>459</v>
      </c>
      <c r="D132" s="63" t="s">
        <v>491</v>
      </c>
      <c r="E132" s="63" t="str">
        <f aca="false">IF($A132="","",IFERROR(INDEX('Status map'!$D$6:$D$64,MATCH($C132&amp;" | "&amp;$D132,'Status map'!$I$6:$I$64,0)),"Unmapped"))</f>
        <v>Active</v>
      </c>
      <c r="F132" s="63" t="s">
        <v>448</v>
      </c>
      <c r="G132" s="69" t="n">
        <v>46259</v>
      </c>
      <c r="H132" s="69"/>
      <c r="I132" s="69" t="n">
        <v>46242</v>
      </c>
      <c r="J132" s="63" t="s">
        <v>461</v>
      </c>
      <c r="K132" s="63" t="s">
        <v>474</v>
      </c>
      <c r="L132" s="63" t="s">
        <v>451</v>
      </c>
      <c r="M132" s="66" t="n">
        <f aca="false">IF(OR($A132="",$H132&lt;&gt;""),"",Targets!$C$8-$I132)</f>
        <v>23</v>
      </c>
      <c r="N132" s="66" t="str">
        <f aca="false">IF($A132="","",IF(AND($F132="Project",$E132="Active",$M132&lt;&gt;"",$M132&gt;Targets!$C$12),"Yes","No"))</f>
        <v>No</v>
      </c>
      <c r="O132" s="66" t="str">
        <f aca="false">IF($A132="","",IF(AND($G132&gt;=Targets!$C$7,$G132&lt;=Targets!$C$8),"Yes","No"))</f>
        <v>Yes</v>
      </c>
      <c r="P132" s="66" t="str">
        <f aca="false">IF($A132="","",IF(AND($H132&lt;&gt;"",$H132&gt;=Targets!$C$7,$H132&lt;=Targets!$C$8),"Yes","No"))</f>
        <v>No</v>
      </c>
      <c r="Q132" s="66" t="str">
        <f aca="false">IF($A132="","",IF(AND($F132="Project",$E132&lt;&gt;"Closed",$E132&lt;&gt;"Dormant"),"Yes","No"))</f>
        <v>Yes</v>
      </c>
      <c r="R132" s="66" t="str">
        <f aca="false">IF($A132="","",IF(AND($L132="In-house",OR($E132="Intake",$E132="Active",$E132="Waiting")),"Yes","No"))</f>
        <v>Yes</v>
      </c>
      <c r="S132" s="66" t="str">
        <f aca="false">IF($A132="","",$C132&amp;" | "&amp;$D132)</f>
        <v>Contracts | Drafting, review, or negotiation</v>
      </c>
      <c r="T132" s="66" t="str">
        <f aca="false">IF($A132="","",IF(AND($L132="Outside provider",OR($E132="Intake",$E132="Active",$E132="Waiting")),"Yes","No"))</f>
        <v>No</v>
      </c>
    </row>
    <row r="133" customFormat="false" ht="15" hidden="false" customHeight="true" outlineLevel="0" collapsed="false">
      <c r="A133" s="67" t="s">
        <v>711</v>
      </c>
      <c r="B133" s="67" t="s">
        <v>712</v>
      </c>
      <c r="C133" s="67" t="s">
        <v>459</v>
      </c>
      <c r="D133" s="67" t="s">
        <v>460</v>
      </c>
      <c r="E133" s="67" t="str">
        <f aca="false">IF($A133="","",IFERROR(INDEX('Status map'!$D$6:$D$64,MATCH($C133&amp;" | "&amp;$D133,'Status map'!$I$6:$I$64,0)),"Unmapped"))</f>
        <v>Waiting</v>
      </c>
      <c r="F133" s="67" t="s">
        <v>448</v>
      </c>
      <c r="G133" s="70" t="n">
        <v>46004</v>
      </c>
      <c r="H133" s="70"/>
      <c r="I133" s="70" t="n">
        <v>46240</v>
      </c>
      <c r="J133" s="67" t="s">
        <v>449</v>
      </c>
      <c r="K133" s="67" t="s">
        <v>470</v>
      </c>
      <c r="L133" s="67" t="s">
        <v>451</v>
      </c>
      <c r="M133" s="66" t="n">
        <f aca="false">IF(OR($A133="",$H133&lt;&gt;""),"",Targets!$C$8-$I133)</f>
        <v>25</v>
      </c>
      <c r="N133" s="66" t="str">
        <f aca="false">IF($A133="","",IF(AND($F133="Project",$E133="Active",$M133&lt;&gt;"",$M133&gt;Targets!$C$12),"Yes","No"))</f>
        <v>No</v>
      </c>
      <c r="O133" s="66" t="str">
        <f aca="false">IF($A133="","",IF(AND($G133&gt;=Targets!$C$7,$G133&lt;=Targets!$C$8),"Yes","No"))</f>
        <v>No</v>
      </c>
      <c r="P133" s="66" t="str">
        <f aca="false">IF($A133="","",IF(AND($H133&lt;&gt;"",$H133&gt;=Targets!$C$7,$H133&lt;=Targets!$C$8),"Yes","No"))</f>
        <v>No</v>
      </c>
      <c r="Q133" s="66" t="str">
        <f aca="false">IF($A133="","",IF(AND($F133="Project",$E133&lt;&gt;"Closed",$E133&lt;&gt;"Dormant"),"Yes","No"))</f>
        <v>Yes</v>
      </c>
      <c r="R133" s="66" t="str">
        <f aca="false">IF($A133="","",IF(AND($L133="In-house",OR($E133="Intake",$E133="Active",$E133="Waiting")),"Yes","No"))</f>
        <v>Yes</v>
      </c>
      <c r="S133" s="66" t="str">
        <f aca="false">IF($A133="","",$C133&amp;" | "&amp;$D133)</f>
        <v>Contracts | Out for signature or awaiting the counterparty</v>
      </c>
      <c r="T133" s="66" t="str">
        <f aca="false">IF($A133="","",IF(AND($L133="Outside provider",OR($E133="Intake",$E133="Active",$E133="Waiting")),"Yes","No"))</f>
        <v>No</v>
      </c>
    </row>
    <row r="134" customFormat="false" ht="15" hidden="false" customHeight="true" outlineLevel="0" collapsed="false">
      <c r="A134" s="63" t="s">
        <v>713</v>
      </c>
      <c r="B134" s="63" t="s">
        <v>714</v>
      </c>
      <c r="C134" s="63" t="s">
        <v>465</v>
      </c>
      <c r="D134" s="63" t="s">
        <v>509</v>
      </c>
      <c r="E134" s="63" t="str">
        <f aca="false">IF($A134="","",IFERROR(INDEX('Status map'!$D$6:$D$64,MATCH($C134&amp;" | "&amp;$D134,'Status map'!$I$6:$I$64,0)),"Unmapped"))</f>
        <v>Dormant</v>
      </c>
      <c r="F134" s="63" t="s">
        <v>510</v>
      </c>
      <c r="G134" s="69" t="n">
        <v>44230</v>
      </c>
      <c r="H134" s="69"/>
      <c r="I134" s="69" t="n">
        <v>46187</v>
      </c>
      <c r="J134" s="63" t="s">
        <v>456</v>
      </c>
      <c r="K134" s="63" t="s">
        <v>461</v>
      </c>
      <c r="L134" s="63" t="s">
        <v>451</v>
      </c>
      <c r="M134" s="66" t="n">
        <f aca="false">IF(OR($A134="",$H134&lt;&gt;""),"",Targets!$C$8-$I134)</f>
        <v>78</v>
      </c>
      <c r="N134" s="66" t="str">
        <f aca="false">IF($A134="","",IF(AND($F134="Project",$E134="Active",$M134&lt;&gt;"",$M134&gt;Targets!$C$12),"Yes","No"))</f>
        <v>No</v>
      </c>
      <c r="O134" s="66" t="str">
        <f aca="false">IF($A134="","",IF(AND($G134&gt;=Targets!$C$7,$G134&lt;=Targets!$C$8),"Yes","No"))</f>
        <v>No</v>
      </c>
      <c r="P134" s="66" t="str">
        <f aca="false">IF($A134="","",IF(AND($H134&lt;&gt;"",$H134&gt;=Targets!$C$7,$H134&lt;=Targets!$C$8),"Yes","No"))</f>
        <v>No</v>
      </c>
      <c r="Q134" s="66" t="str">
        <f aca="false">IF($A134="","",IF(AND($F134="Project",$E134&lt;&gt;"Closed",$E134&lt;&gt;"Dormant"),"Yes","No"))</f>
        <v>No</v>
      </c>
      <c r="R134" s="66" t="str">
        <f aca="false">IF($A134="","",IF(AND($L134="In-house",OR($E134="Intake",$E134="Active",$E134="Waiting")),"Yes","No"))</f>
        <v>No</v>
      </c>
      <c r="S134" s="66" t="str">
        <f aca="false">IF($A134="","",$C134&amp;" | "&amp;$D134)</f>
        <v>Immigration and visas | Approved, renewal window tracked</v>
      </c>
      <c r="T134" s="66" t="str">
        <f aca="false">IF($A134="","",IF(AND($L134="Outside provider",OR($E134="Intake",$E134="Active",$E134="Waiting")),"Yes","No"))</f>
        <v>No</v>
      </c>
    </row>
    <row r="135" customFormat="false" ht="15" hidden="false" customHeight="true" outlineLevel="0" collapsed="false">
      <c r="A135" s="67" t="s">
        <v>715</v>
      </c>
      <c r="B135" s="67" t="s">
        <v>594</v>
      </c>
      <c r="C135" s="67" t="s">
        <v>454</v>
      </c>
      <c r="D135" s="67" t="s">
        <v>455</v>
      </c>
      <c r="E135" s="67" t="str">
        <f aca="false">IF($A135="","",IFERROR(INDEX('Status map'!$D$6:$D$64,MATCH($C135&amp;" | "&amp;$D135,'Status map'!$I$6:$I$64,0)),"Unmapped"))</f>
        <v>Closed</v>
      </c>
      <c r="F135" s="67" t="s">
        <v>448</v>
      </c>
      <c r="G135" s="70" t="n">
        <v>46019</v>
      </c>
      <c r="H135" s="70" t="n">
        <v>46252</v>
      </c>
      <c r="I135" s="70" t="n">
        <v>46252</v>
      </c>
      <c r="J135" s="67" t="s">
        <v>462</v>
      </c>
      <c r="K135" s="67" t="s">
        <v>474</v>
      </c>
      <c r="L135" s="67" t="s">
        <v>451</v>
      </c>
      <c r="M135" s="66" t="str">
        <f aca="false">IF(OR($A135="",$H135&lt;&gt;""),"",Targets!$C$8-$I135)</f>
        <v/>
      </c>
      <c r="N135" s="66" t="str">
        <f aca="false">IF($A135="","",IF(AND($F135="Project",$E135="Active",$M135&lt;&gt;"",$M135&gt;Targets!$C$12),"Yes","No"))</f>
        <v>No</v>
      </c>
      <c r="O135" s="66" t="str">
        <f aca="false">IF($A135="","",IF(AND($G135&gt;=Targets!$C$7,$G135&lt;=Targets!$C$8),"Yes","No"))</f>
        <v>No</v>
      </c>
      <c r="P135" s="66" t="str">
        <f aca="false">IF($A135="","",IF(AND($H135&lt;&gt;"",$H135&gt;=Targets!$C$7,$H135&lt;=Targets!$C$8),"Yes","No"))</f>
        <v>Yes</v>
      </c>
      <c r="Q135" s="66" t="str">
        <f aca="false">IF($A135="","",IF(AND($F135="Project",$E135&lt;&gt;"Closed",$E135&lt;&gt;"Dormant"),"Yes","No"))</f>
        <v>No</v>
      </c>
      <c r="R135" s="66" t="str">
        <f aca="false">IF($A135="","",IF(AND($L135="In-house",OR($E135="Intake",$E135="Active",$E135="Waiting")),"Yes","No"))</f>
        <v>No</v>
      </c>
      <c r="S135" s="66" t="str">
        <f aca="false">IF($A135="","",$C135&amp;" | "&amp;$D135)</f>
        <v>Litigation | Settled, dismissed, or judgment entered</v>
      </c>
      <c r="T135" s="66" t="str">
        <f aca="false">IF($A135="","",IF(AND($L135="Outside provider",OR($E135="Intake",$E135="Active",$E135="Waiting")),"Yes","No"))</f>
        <v>No</v>
      </c>
    </row>
    <row r="136" customFormat="false" ht="15" hidden="false" customHeight="true" outlineLevel="0" collapsed="false">
      <c r="A136" s="63" t="s">
        <v>324</v>
      </c>
      <c r="B136" s="63" t="s">
        <v>716</v>
      </c>
      <c r="C136" s="63" t="s">
        <v>446</v>
      </c>
      <c r="D136" s="63" t="s">
        <v>545</v>
      </c>
      <c r="E136" s="63" t="str">
        <f aca="false">IF($A136="","",IFERROR(INDEX('Status map'!$D$6:$D$64,MATCH($C136&amp;" | "&amp;$D136,'Status map'!$I$6:$I$64,0)),"Unmapped"))</f>
        <v>Active</v>
      </c>
      <c r="F136" s="63" t="s">
        <v>448</v>
      </c>
      <c r="G136" s="69" t="n">
        <v>46240</v>
      </c>
      <c r="H136" s="69"/>
      <c r="I136" s="69" t="n">
        <v>46257</v>
      </c>
      <c r="J136" s="63" t="s">
        <v>470</v>
      </c>
      <c r="K136" s="63" t="s">
        <v>492</v>
      </c>
      <c r="L136" s="63" t="s">
        <v>451</v>
      </c>
      <c r="M136" s="66" t="n">
        <f aca="false">IF(OR($A136="",$H136&lt;&gt;""),"",Targets!$C$8-$I136)</f>
        <v>8</v>
      </c>
      <c r="N136" s="66" t="str">
        <f aca="false">IF($A136="","",IF(AND($F136="Project",$E136="Active",$M136&lt;&gt;"",$M136&gt;Targets!$C$12),"Yes","No"))</f>
        <v>No</v>
      </c>
      <c r="O136" s="66" t="str">
        <f aca="false">IF($A136="","",IF(AND($G136&gt;=Targets!$C$7,$G136&lt;=Targets!$C$8),"Yes","No"))</f>
        <v>Yes</v>
      </c>
      <c r="P136" s="66" t="str">
        <f aca="false">IF($A136="","",IF(AND($H136&lt;&gt;"",$H136&gt;=Targets!$C$7,$H136&lt;=Targets!$C$8),"Yes","No"))</f>
        <v>No</v>
      </c>
      <c r="Q136" s="66" t="str">
        <f aca="false">IF($A136="","",IF(AND($F136="Project",$E136&lt;&gt;"Closed",$E136&lt;&gt;"Dormant"),"Yes","No"))</f>
        <v>Yes</v>
      </c>
      <c r="R136" s="66" t="str">
        <f aca="false">IF($A136="","",IF(AND($L136="In-house",OR($E136="Intake",$E136="Active",$E136="Waiting")),"Yes","No"))</f>
        <v>Yes</v>
      </c>
      <c r="S136" s="66" t="str">
        <f aca="false">IF($A136="","",$C136&amp;" | "&amp;$D136)</f>
        <v>Employment | Investigation underway</v>
      </c>
      <c r="T136" s="66" t="str">
        <f aca="false">IF($A136="","",IF(AND($L136="Outside provider",OR($E136="Intake",$E136="Active",$E136="Waiting")),"Yes","No"))</f>
        <v>No</v>
      </c>
    </row>
    <row r="137" customFormat="false" ht="15" hidden="false" customHeight="true" outlineLevel="0" collapsed="false">
      <c r="A137" s="67" t="s">
        <v>329</v>
      </c>
      <c r="B137" s="67" t="s">
        <v>717</v>
      </c>
      <c r="C137" s="67" t="s">
        <v>454</v>
      </c>
      <c r="D137" s="67" t="s">
        <v>514</v>
      </c>
      <c r="E137" s="67" t="str">
        <f aca="false">IF($A137="","",IFERROR(INDEX('Status map'!$D$6:$D$64,MATCH($C137&amp;" | "&amp;$D137,'Status map'!$I$6:$I$64,0)),"Unmapped"))</f>
        <v>Active</v>
      </c>
      <c r="F137" s="67" t="s">
        <v>448</v>
      </c>
      <c r="G137" s="70" t="n">
        <v>46245</v>
      </c>
      <c r="H137" s="70"/>
      <c r="I137" s="70" t="n">
        <v>46253</v>
      </c>
      <c r="J137" s="67" t="s">
        <v>492</v>
      </c>
      <c r="K137" s="67" t="s">
        <v>492</v>
      </c>
      <c r="L137" s="67" t="s">
        <v>451</v>
      </c>
      <c r="M137" s="66" t="n">
        <f aca="false">IF(OR($A137="",$H137&lt;&gt;""),"",Targets!$C$8-$I137)</f>
        <v>12</v>
      </c>
      <c r="N137" s="66" t="str">
        <f aca="false">IF($A137="","",IF(AND($F137="Project",$E137="Active",$M137&lt;&gt;"",$M137&gt;Targets!$C$12),"Yes","No"))</f>
        <v>No</v>
      </c>
      <c r="O137" s="66" t="str">
        <f aca="false">IF($A137="","",IF(AND($G137&gt;=Targets!$C$7,$G137&lt;=Targets!$C$8),"Yes","No"))</f>
        <v>Yes</v>
      </c>
      <c r="P137" s="66" t="str">
        <f aca="false">IF($A137="","",IF(AND($H137&lt;&gt;"",$H137&gt;=Targets!$C$7,$H137&lt;=Targets!$C$8),"Yes","No"))</f>
        <v>No</v>
      </c>
      <c r="Q137" s="66" t="str">
        <f aca="false">IF($A137="","",IF(AND($F137="Project",$E137&lt;&gt;"Closed",$E137&lt;&gt;"Dormant"),"Yes","No"))</f>
        <v>Yes</v>
      </c>
      <c r="R137" s="66" t="str">
        <f aca="false">IF($A137="","",IF(AND($L137="In-house",OR($E137="Intake",$E137="Active",$E137="Waiting")),"Yes","No"))</f>
        <v>Yes</v>
      </c>
      <c r="S137" s="66" t="str">
        <f aca="false">IF($A137="","",$C137&amp;" | "&amp;$D137)</f>
        <v>Litigation | Active discovery, motions, or trial prep</v>
      </c>
      <c r="T137" s="66" t="str">
        <f aca="false">IF($A137="","",IF(AND($L137="Outside provider",OR($E137="Intake",$E137="Active",$E137="Waiting")),"Yes","No"))</f>
        <v>No</v>
      </c>
    </row>
    <row r="138" customFormat="false" ht="15" hidden="false" customHeight="true" outlineLevel="0" collapsed="false">
      <c r="A138" s="63" t="s">
        <v>718</v>
      </c>
      <c r="B138" s="63" t="s">
        <v>719</v>
      </c>
      <c r="C138" s="63" t="s">
        <v>501</v>
      </c>
      <c r="D138" s="63" t="s">
        <v>720</v>
      </c>
      <c r="E138" s="63" t="str">
        <f aca="false">IF($A138="","",IFERROR(INDEX('Status map'!$D$6:$D$64,MATCH($C138&amp;" | "&amp;$D138,'Status map'!$I$6:$I$64,0)),"Unmapped"))</f>
        <v>Active</v>
      </c>
      <c r="F138" s="63" t="s">
        <v>448</v>
      </c>
      <c r="G138" s="69" t="n">
        <v>46096</v>
      </c>
      <c r="H138" s="69"/>
      <c r="I138" s="69" t="n">
        <v>46260</v>
      </c>
      <c r="J138" s="63" t="s">
        <v>461</v>
      </c>
      <c r="K138" s="63" t="s">
        <v>449</v>
      </c>
      <c r="L138" s="63" t="s">
        <v>451</v>
      </c>
      <c r="M138" s="66" t="n">
        <f aca="false">IF(OR($A138="",$H138&lt;&gt;""),"",Targets!$C$8-$I138)</f>
        <v>5</v>
      </c>
      <c r="N138" s="66" t="str">
        <f aca="false">IF($A138="","",IF(AND($F138="Project",$E138="Active",$M138&lt;&gt;"",$M138&gt;Targets!$C$12),"Yes","No"))</f>
        <v>No</v>
      </c>
      <c r="O138" s="66" t="str">
        <f aca="false">IF($A138="","",IF(AND($G138&gt;=Targets!$C$7,$G138&lt;=Targets!$C$8),"Yes","No"))</f>
        <v>No</v>
      </c>
      <c r="P138" s="66" t="str">
        <f aca="false">IF($A138="","",IF(AND($H138&lt;&gt;"",$H138&gt;=Targets!$C$7,$H138&lt;=Targets!$C$8),"Yes","No"))</f>
        <v>No</v>
      </c>
      <c r="Q138" s="66" t="str">
        <f aca="false">IF($A138="","",IF(AND($F138="Project",$E138&lt;&gt;"Closed",$E138&lt;&gt;"Dormant"),"Yes","No"))</f>
        <v>Yes</v>
      </c>
      <c r="R138" s="66" t="str">
        <f aca="false">IF($A138="","",IF(AND($L138="In-house",OR($E138="Intake",$E138="Active",$E138="Waiting")),"Yes","No"))</f>
        <v>Yes</v>
      </c>
      <c r="S138" s="66" t="str">
        <f aca="false">IF($A138="","",$C138&amp;" | "&amp;$D138)</f>
        <v>M&amp;A and corporate deals | Term sheet or letter of intent under discussion</v>
      </c>
      <c r="T138" s="66" t="str">
        <f aca="false">IF($A138="","",IF(AND($L138="Outside provider",OR($E138="Intake",$E138="Active",$E138="Waiting")),"Yes","No"))</f>
        <v>No</v>
      </c>
    </row>
    <row r="139" customFormat="false" ht="15" hidden="false" customHeight="true" outlineLevel="0" collapsed="false">
      <c r="A139" s="67" t="s">
        <v>721</v>
      </c>
      <c r="B139" s="67" t="s">
        <v>603</v>
      </c>
      <c r="C139" s="67" t="s">
        <v>487</v>
      </c>
      <c r="D139" s="67" t="s">
        <v>636</v>
      </c>
      <c r="E139" s="67" t="str">
        <f aca="false">IF($A139="","",IFERROR(INDEX('Status map'!$D$6:$D$64,MATCH($C139&amp;" | "&amp;$D139,'Status map'!$I$6:$I$64,0)),"Unmapped"))</f>
        <v>Active</v>
      </c>
      <c r="F139" s="67" t="s">
        <v>482</v>
      </c>
      <c r="G139" s="70" t="n">
        <v>46124</v>
      </c>
      <c r="H139" s="70"/>
      <c r="I139" s="70" t="n">
        <v>46252</v>
      </c>
      <c r="J139" s="67" t="s">
        <v>462</v>
      </c>
      <c r="K139" s="67" t="s">
        <v>456</v>
      </c>
      <c r="L139" s="67" t="s">
        <v>451</v>
      </c>
      <c r="M139" s="66" t="n">
        <f aca="false">IF(OR($A139="",$H139&lt;&gt;""),"",Targets!$C$8-$I139)</f>
        <v>13</v>
      </c>
      <c r="N139" s="66" t="str">
        <f aca="false">IF($A139="","",IF(AND($F139="Project",$E139="Active",$M139&lt;&gt;"",$M139&gt;Targets!$C$12),"Yes","No"))</f>
        <v>No</v>
      </c>
      <c r="O139" s="66" t="str">
        <f aca="false">IF($A139="","",IF(AND($G139&gt;=Targets!$C$7,$G139&lt;=Targets!$C$8),"Yes","No"))</f>
        <v>No</v>
      </c>
      <c r="P139" s="66" t="str">
        <f aca="false">IF($A139="","",IF(AND($H139&lt;&gt;"",$H139&gt;=Targets!$C$7,$H139&lt;=Targets!$C$8),"Yes","No"))</f>
        <v>No</v>
      </c>
      <c r="Q139" s="66" t="str">
        <f aca="false">IF($A139="","",IF(AND($F139="Project",$E139&lt;&gt;"Closed",$E139&lt;&gt;"Dormant"),"Yes","No"))</f>
        <v>No</v>
      </c>
      <c r="R139" s="66" t="str">
        <f aca="false">IF($A139="","",IF(AND($L139="In-house",OR($E139="Intake",$E139="Active",$E139="Waiting")),"Yes","No"))</f>
        <v>Yes</v>
      </c>
      <c r="S139" s="66" t="str">
        <f aca="false">IF($A139="","",$C139&amp;" | "&amp;$D139)</f>
        <v>Corporate and entity management | Formation, change, or dissolution in progress</v>
      </c>
      <c r="T139" s="66" t="str">
        <f aca="false">IF($A139="","",IF(AND($L139="Outside provider",OR($E139="Intake",$E139="Active",$E139="Waiting")),"Yes","No"))</f>
        <v>No</v>
      </c>
    </row>
    <row r="140" customFormat="false" ht="15" hidden="false" customHeight="true" outlineLevel="0" collapsed="false">
      <c r="A140" s="63" t="s">
        <v>722</v>
      </c>
      <c r="B140" s="63" t="s">
        <v>723</v>
      </c>
      <c r="C140" s="63" t="s">
        <v>465</v>
      </c>
      <c r="D140" s="63" t="s">
        <v>469</v>
      </c>
      <c r="E140" s="63" t="str">
        <f aca="false">IF($A140="","",IFERROR(INDEX('Status map'!$D$6:$D$64,MATCH($C140&amp;" | "&amp;$D140,'Status map'!$I$6:$I$64,0)),"Unmapped"))</f>
        <v>Active</v>
      </c>
      <c r="F140" s="63" t="s">
        <v>448</v>
      </c>
      <c r="G140" s="69" t="n">
        <v>46099</v>
      </c>
      <c r="H140" s="69"/>
      <c r="I140" s="69" t="n">
        <v>46242</v>
      </c>
      <c r="J140" s="63" t="s">
        <v>470</v>
      </c>
      <c r="K140" s="63" t="s">
        <v>461</v>
      </c>
      <c r="L140" s="63" t="s">
        <v>451</v>
      </c>
      <c r="M140" s="66" t="n">
        <f aca="false">IF(OR($A140="",$H140&lt;&gt;""),"",Targets!$C$8-$I140)</f>
        <v>23</v>
      </c>
      <c r="N140" s="66" t="str">
        <f aca="false">IF($A140="","",IF(AND($F140="Project",$E140="Active",$M140&lt;&gt;"",$M140&gt;Targets!$C$12),"Yes","No"))</f>
        <v>No</v>
      </c>
      <c r="O140" s="66" t="str">
        <f aca="false">IF($A140="","",IF(AND($G140&gt;=Targets!$C$7,$G140&lt;=Targets!$C$8),"Yes","No"))</f>
        <v>No</v>
      </c>
      <c r="P140" s="66" t="str">
        <f aca="false">IF($A140="","",IF(AND($H140&lt;&gt;"",$H140&gt;=Targets!$C$7,$H140&lt;=Targets!$C$8),"Yes","No"))</f>
        <v>No</v>
      </c>
      <c r="Q140" s="66" t="str">
        <f aca="false">IF($A140="","",IF(AND($F140="Project",$E140&lt;&gt;"Closed",$E140&lt;&gt;"Dormant"),"Yes","No"))</f>
        <v>Yes</v>
      </c>
      <c r="R140" s="66" t="str">
        <f aca="false">IF($A140="","",IF(AND($L140="In-house",OR($E140="Intake",$E140="Active",$E140="Waiting")),"Yes","No"))</f>
        <v>Yes</v>
      </c>
      <c r="S140" s="66" t="str">
        <f aca="false">IF($A140="","",$C140&amp;" | "&amp;$D140)</f>
        <v>Immigration and visas | Petition or an evidence response being prepared</v>
      </c>
      <c r="T140" s="66" t="str">
        <f aca="false">IF($A140="","",IF(AND($L140="Outside provider",OR($E140="Intake",$E140="Active",$E140="Waiting")),"Yes","No"))</f>
        <v>No</v>
      </c>
    </row>
    <row r="141" customFormat="false" ht="15" hidden="false" customHeight="true" outlineLevel="0" collapsed="false">
      <c r="A141" s="67" t="s">
        <v>391</v>
      </c>
      <c r="B141" s="67" t="s">
        <v>553</v>
      </c>
      <c r="C141" s="67" t="s">
        <v>465</v>
      </c>
      <c r="D141" s="67" t="s">
        <v>586</v>
      </c>
      <c r="E141" s="67" t="str">
        <f aca="false">IF($A141="","",IFERROR(INDEX('Status map'!$D$6:$D$64,MATCH($C141&amp;" | "&amp;$D141,'Status map'!$I$6:$I$64,0)),"Unmapped"))</f>
        <v>Waiting</v>
      </c>
      <c r="F141" s="67" t="s">
        <v>448</v>
      </c>
      <c r="G141" s="70" t="n">
        <v>46243</v>
      </c>
      <c r="H141" s="70"/>
      <c r="I141" s="70" t="n">
        <v>46256</v>
      </c>
      <c r="J141" s="67" t="s">
        <v>462</v>
      </c>
      <c r="K141" s="67" t="s">
        <v>474</v>
      </c>
      <c r="L141" s="67" t="s">
        <v>451</v>
      </c>
      <c r="M141" s="66" t="n">
        <f aca="false">IF(OR($A141="",$H141&lt;&gt;""),"",Targets!$C$8-$I141)</f>
        <v>9</v>
      </c>
      <c r="N141" s="66" t="str">
        <f aca="false">IF($A141="","",IF(AND($F141="Project",$E141="Active",$M141&lt;&gt;"",$M141&gt;Targets!$C$12),"Yes","No"))</f>
        <v>No</v>
      </c>
      <c r="O141" s="66" t="str">
        <f aca="false">IF($A141="","",IF(AND($G141&gt;=Targets!$C$7,$G141&lt;=Targets!$C$8),"Yes","No"))</f>
        <v>Yes</v>
      </c>
      <c r="P141" s="66" t="str">
        <f aca="false">IF($A141="","",IF(AND($H141&lt;&gt;"",$H141&gt;=Targets!$C$7,$H141&lt;=Targets!$C$8),"Yes","No"))</f>
        <v>No</v>
      </c>
      <c r="Q141" s="66" t="str">
        <f aca="false">IF($A141="","",IF(AND($F141="Project",$E141&lt;&gt;"Closed",$E141&lt;&gt;"Dormant"),"Yes","No"))</f>
        <v>Yes</v>
      </c>
      <c r="R141" s="66" t="str">
        <f aca="false">IF($A141="","",IF(AND($L141="In-house",OR($E141="Intake",$E141="Active",$E141="Waiting")),"Yes","No"))</f>
        <v>Yes</v>
      </c>
      <c r="S141" s="66" t="str">
        <f aca="false">IF($A141="","",$C141&amp;" | "&amp;$D141)</f>
        <v>Immigration and visas | Filed, awaiting a decision or with an evidence request pending</v>
      </c>
      <c r="T141" s="66" t="str">
        <f aca="false">IF($A141="","",IF(AND($L141="Outside provider",OR($E141="Intake",$E141="Active",$E141="Waiting")),"Yes","No"))</f>
        <v>No</v>
      </c>
    </row>
    <row r="142" customFormat="false" ht="15" hidden="false" customHeight="true" outlineLevel="0" collapsed="false">
      <c r="A142" s="63" t="s">
        <v>724</v>
      </c>
      <c r="B142" s="63" t="s">
        <v>725</v>
      </c>
      <c r="C142" s="63" t="s">
        <v>647</v>
      </c>
      <c r="D142" s="63" t="s">
        <v>648</v>
      </c>
      <c r="E142" s="63" t="str">
        <f aca="false">IF($A142="","",IFERROR(INDEX('Status map'!$D$6:$D$64,MATCH($C142&amp;" | "&amp;$D142,'Status map'!$I$6:$I$64,0)),"Unmapped"))</f>
        <v>Dormant</v>
      </c>
      <c r="F142" s="63" t="s">
        <v>510</v>
      </c>
      <c r="G142" s="69" t="n">
        <v>44311</v>
      </c>
      <c r="H142" s="69"/>
      <c r="I142" s="69" t="n">
        <v>46036</v>
      </c>
      <c r="J142" s="63" t="s">
        <v>456</v>
      </c>
      <c r="K142" s="63" t="s">
        <v>456</v>
      </c>
      <c r="L142" s="63" t="s">
        <v>451</v>
      </c>
      <c r="M142" s="66" t="n">
        <f aca="false">IF(OR($A142="",$H142&lt;&gt;""),"",Targets!$C$8-$I142)</f>
        <v>229</v>
      </c>
      <c r="N142" s="66" t="str">
        <f aca="false">IF($A142="","",IF(AND($F142="Project",$E142="Active",$M142&lt;&gt;"",$M142&gt;Targets!$C$12),"Yes","No"))</f>
        <v>No</v>
      </c>
      <c r="O142" s="66" t="str">
        <f aca="false">IF($A142="","",IF(AND($G142&gt;=Targets!$C$7,$G142&lt;=Targets!$C$8),"Yes","No"))</f>
        <v>No</v>
      </c>
      <c r="P142" s="66" t="str">
        <f aca="false">IF($A142="","",IF(AND($H142&lt;&gt;"",$H142&gt;=Targets!$C$7,$H142&lt;=Targets!$C$8),"Yes","No"))</f>
        <v>No</v>
      </c>
      <c r="Q142" s="66" t="str">
        <f aca="false">IF($A142="","",IF(AND($F142="Project",$E142&lt;&gt;"Closed",$E142&lt;&gt;"Dormant"),"Yes","No"))</f>
        <v>No</v>
      </c>
      <c r="R142" s="66" t="str">
        <f aca="false">IF($A142="","",IF(AND($L142="In-house",OR($E142="Intake",$E142="Active",$E142="Waiting")),"Yes","No"))</f>
        <v>No</v>
      </c>
      <c r="S142" s="66" t="str">
        <f aca="false">IF($A142="","",$C142&amp;" | "&amp;$D142)</f>
        <v>IP: patents and trademarks | Issued or registered, in maintenance</v>
      </c>
      <c r="T142" s="66" t="str">
        <f aca="false">IF($A142="","",IF(AND($L142="Outside provider",OR($E142="Intake",$E142="Active",$E142="Waiting")),"Yes","No"))</f>
        <v>No</v>
      </c>
    </row>
    <row r="143" customFormat="false" ht="15" hidden="false" customHeight="true" outlineLevel="0" collapsed="false">
      <c r="A143" s="67" t="s">
        <v>726</v>
      </c>
      <c r="B143" s="67" t="s">
        <v>727</v>
      </c>
      <c r="C143" s="67" t="s">
        <v>501</v>
      </c>
      <c r="D143" s="67" t="s">
        <v>502</v>
      </c>
      <c r="E143" s="67" t="str">
        <f aca="false">IF($A143="","",IFERROR(INDEX('Status map'!$D$6:$D$64,MATCH($C143&amp;" | "&amp;$D143,'Status map'!$I$6:$I$64,0)),"Unmapped"))</f>
        <v>Closed</v>
      </c>
      <c r="F143" s="67" t="s">
        <v>448</v>
      </c>
      <c r="G143" s="70" t="n">
        <v>45881</v>
      </c>
      <c r="H143" s="70" t="n">
        <v>46008</v>
      </c>
      <c r="I143" s="70" t="n">
        <v>46008</v>
      </c>
      <c r="J143" s="67" t="s">
        <v>474</v>
      </c>
      <c r="K143" s="67" t="s">
        <v>461</v>
      </c>
      <c r="L143" s="67" t="s">
        <v>451</v>
      </c>
      <c r="M143" s="66" t="str">
        <f aca="false">IF(OR($A143="",$H143&lt;&gt;""),"",Targets!$C$8-$I143)</f>
        <v/>
      </c>
      <c r="N143" s="66" t="str">
        <f aca="false">IF($A143="","",IF(AND($F143="Project",$E143="Active",$M143&lt;&gt;"",$M143&gt;Targets!$C$12),"Yes","No"))</f>
        <v>No</v>
      </c>
      <c r="O143" s="66" t="str">
        <f aca="false">IF($A143="","",IF(AND($G143&gt;=Targets!$C$7,$G143&lt;=Targets!$C$8),"Yes","No"))</f>
        <v>No</v>
      </c>
      <c r="P143" s="66" t="str">
        <f aca="false">IF($A143="","",IF(AND($H143&lt;&gt;"",$H143&gt;=Targets!$C$7,$H143&lt;=Targets!$C$8),"Yes","No"))</f>
        <v>No</v>
      </c>
      <c r="Q143" s="66" t="str">
        <f aca="false">IF($A143="","",IF(AND($F143="Project",$E143&lt;&gt;"Closed",$E143&lt;&gt;"Dormant"),"Yes","No"))</f>
        <v>No</v>
      </c>
      <c r="R143" s="66" t="str">
        <f aca="false">IF($A143="","",IF(AND($L143="In-house",OR($E143="Intake",$E143="Active",$E143="Waiting")),"Yes","No"))</f>
        <v>No</v>
      </c>
      <c r="S143" s="66" t="str">
        <f aca="false">IF($A143="","",$C143&amp;" | "&amp;$D143)</f>
        <v>M&amp;A and corporate deals | Deal closed</v>
      </c>
      <c r="T143" s="66" t="str">
        <f aca="false">IF($A143="","",IF(AND($L143="Outside provider",OR($E143="Intake",$E143="Active",$E143="Waiting")),"Yes","No"))</f>
        <v>No</v>
      </c>
    </row>
    <row r="144" customFormat="false" ht="15" hidden="false" customHeight="true" outlineLevel="0" collapsed="false">
      <c r="A144" s="63" t="s">
        <v>728</v>
      </c>
      <c r="B144" s="63" t="s">
        <v>729</v>
      </c>
      <c r="C144" s="63" t="s">
        <v>459</v>
      </c>
      <c r="D144" s="63" t="s">
        <v>534</v>
      </c>
      <c r="E144" s="63" t="str">
        <f aca="false">IF($A144="","",IFERROR(INDEX('Status map'!$D$6:$D$64,MATCH($C144&amp;" | "&amp;$D144,'Status map'!$I$6:$I$64,0)),"Unmapped"))</f>
        <v>Dormant</v>
      </c>
      <c r="F144" s="63" t="s">
        <v>510</v>
      </c>
      <c r="G144" s="69" t="n">
        <v>44904</v>
      </c>
      <c r="H144" s="69"/>
      <c r="I144" s="69" t="n">
        <v>46047</v>
      </c>
      <c r="J144" s="63" t="s">
        <v>470</v>
      </c>
      <c r="K144" s="63" t="s">
        <v>456</v>
      </c>
      <c r="L144" s="63" t="s">
        <v>451</v>
      </c>
      <c r="M144" s="66" t="n">
        <f aca="false">IF(OR($A144="",$H144&lt;&gt;""),"",Targets!$C$8-$I144)</f>
        <v>218</v>
      </c>
      <c r="N144" s="66" t="str">
        <f aca="false">IF($A144="","",IF(AND($F144="Project",$E144="Active",$M144&lt;&gt;"",$M144&gt;Targets!$C$12),"Yes","No"))</f>
        <v>No</v>
      </c>
      <c r="O144" s="66" t="str">
        <f aca="false">IF($A144="","",IF(AND($G144&gt;=Targets!$C$7,$G144&lt;=Targets!$C$8),"Yes","No"))</f>
        <v>No</v>
      </c>
      <c r="P144" s="66" t="str">
        <f aca="false">IF($A144="","",IF(AND($H144&lt;&gt;"",$H144&gt;=Targets!$C$7,$H144&lt;=Targets!$C$8),"Yes","No"))</f>
        <v>No</v>
      </c>
      <c r="Q144" s="66" t="str">
        <f aca="false">IF($A144="","",IF(AND($F144="Project",$E144&lt;&gt;"Closed",$E144&lt;&gt;"Dormant"),"Yes","No"))</f>
        <v>No</v>
      </c>
      <c r="R144" s="66" t="str">
        <f aca="false">IF($A144="","",IF(AND($L144="In-house",OR($E144="Intake",$E144="Active",$E144="Waiting")),"Yes","No"))</f>
        <v>No</v>
      </c>
      <c r="S144" s="66" t="str">
        <f aca="false">IF($A144="","",$C144&amp;" | "&amp;$D144)</f>
        <v>Contracts | Standing agreement tracked for renewal</v>
      </c>
      <c r="T144" s="66" t="str">
        <f aca="false">IF($A144="","",IF(AND($L144="Outside provider",OR($E144="Intake",$E144="Active",$E144="Waiting")),"Yes","No"))</f>
        <v>No</v>
      </c>
    </row>
    <row r="145" customFormat="false" ht="15" hidden="false" customHeight="true" outlineLevel="0" collapsed="false">
      <c r="A145" s="67" t="s">
        <v>312</v>
      </c>
      <c r="B145" s="67" t="s">
        <v>730</v>
      </c>
      <c r="C145" s="67" t="s">
        <v>454</v>
      </c>
      <c r="D145" s="67" t="s">
        <v>657</v>
      </c>
      <c r="E145" s="67" t="str">
        <f aca="false">IF($A145="","",IFERROR(INDEX('Status map'!$D$6:$D$64,MATCH($C145&amp;" | "&amp;$D145,'Status map'!$I$6:$I$64,0)),"Unmapped"))</f>
        <v>Waiting</v>
      </c>
      <c r="F145" s="67" t="s">
        <v>448</v>
      </c>
      <c r="G145" s="70" t="n">
        <v>46258</v>
      </c>
      <c r="H145" s="70"/>
      <c r="I145" s="70" t="n">
        <v>46250</v>
      </c>
      <c r="J145" s="67" t="s">
        <v>450</v>
      </c>
      <c r="K145" s="67" t="s">
        <v>492</v>
      </c>
      <c r="L145" s="67" t="s">
        <v>451</v>
      </c>
      <c r="M145" s="66" t="n">
        <f aca="false">IF(OR($A145="",$H145&lt;&gt;""),"",Targets!$C$8-$I145)</f>
        <v>15</v>
      </c>
      <c r="N145" s="66" t="str">
        <f aca="false">IF($A145="","",IF(AND($F145="Project",$E145="Active",$M145&lt;&gt;"",$M145&gt;Targets!$C$12),"Yes","No"))</f>
        <v>No</v>
      </c>
      <c r="O145" s="66" t="str">
        <f aca="false">IF($A145="","",IF(AND($G145&gt;=Targets!$C$7,$G145&lt;=Targets!$C$8),"Yes","No"))</f>
        <v>Yes</v>
      </c>
      <c r="P145" s="66" t="str">
        <f aca="false">IF($A145="","",IF(AND($H145&lt;&gt;"",$H145&gt;=Targets!$C$7,$H145&lt;=Targets!$C$8),"Yes","No"))</f>
        <v>No</v>
      </c>
      <c r="Q145" s="66" t="str">
        <f aca="false">IF($A145="","",IF(AND($F145="Project",$E145&lt;&gt;"Closed",$E145&lt;&gt;"Dormant"),"Yes","No"))</f>
        <v>Yes</v>
      </c>
      <c r="R145" s="66" t="str">
        <f aca="false">IF($A145="","",IF(AND($L145="In-house",OR($E145="Intake",$E145="Active",$E145="Waiting")),"Yes","No"))</f>
        <v>Yes</v>
      </c>
      <c r="S145" s="66" t="str">
        <f aca="false">IF($A145="","",$C145&amp;" | "&amp;$D145)</f>
        <v>Litigation | Awaiting a ruling, a hearing date, or the other side</v>
      </c>
      <c r="T145" s="66" t="str">
        <f aca="false">IF($A145="","",IF(AND($L145="Outside provider",OR($E145="Intake",$E145="Active",$E145="Waiting")),"Yes","No"))</f>
        <v>No</v>
      </c>
    </row>
    <row r="146" customFormat="false" ht="15" hidden="false" customHeight="true" outlineLevel="0" collapsed="false">
      <c r="A146" s="63" t="s">
        <v>272</v>
      </c>
      <c r="B146" s="63" t="s">
        <v>705</v>
      </c>
      <c r="C146" s="63" t="s">
        <v>465</v>
      </c>
      <c r="D146" s="63" t="s">
        <v>469</v>
      </c>
      <c r="E146" s="63" t="str">
        <f aca="false">IF($A146="","",IFERROR(INDEX('Status map'!$D$6:$D$64,MATCH($C146&amp;" | "&amp;$D146,'Status map'!$I$6:$I$64,0)),"Unmapped"))</f>
        <v>Active</v>
      </c>
      <c r="F146" s="63" t="s">
        <v>448</v>
      </c>
      <c r="G146" s="69" t="n">
        <v>46246</v>
      </c>
      <c r="H146" s="69"/>
      <c r="I146" s="69" t="n">
        <v>46252</v>
      </c>
      <c r="J146" s="63" t="s">
        <v>474</v>
      </c>
      <c r="K146" s="63" t="s">
        <v>474</v>
      </c>
      <c r="L146" s="63" t="s">
        <v>451</v>
      </c>
      <c r="M146" s="66" t="n">
        <f aca="false">IF(OR($A146="",$H146&lt;&gt;""),"",Targets!$C$8-$I146)</f>
        <v>13</v>
      </c>
      <c r="N146" s="66" t="str">
        <f aca="false">IF($A146="","",IF(AND($F146="Project",$E146="Active",$M146&lt;&gt;"",$M146&gt;Targets!$C$12),"Yes","No"))</f>
        <v>No</v>
      </c>
      <c r="O146" s="66" t="str">
        <f aca="false">IF($A146="","",IF(AND($G146&gt;=Targets!$C$7,$G146&lt;=Targets!$C$8),"Yes","No"))</f>
        <v>Yes</v>
      </c>
      <c r="P146" s="66" t="str">
        <f aca="false">IF($A146="","",IF(AND($H146&lt;&gt;"",$H146&gt;=Targets!$C$7,$H146&lt;=Targets!$C$8),"Yes","No"))</f>
        <v>No</v>
      </c>
      <c r="Q146" s="66" t="str">
        <f aca="false">IF($A146="","",IF(AND($F146="Project",$E146&lt;&gt;"Closed",$E146&lt;&gt;"Dormant"),"Yes","No"))</f>
        <v>Yes</v>
      </c>
      <c r="R146" s="66" t="str">
        <f aca="false">IF($A146="","",IF(AND($L146="In-house",OR($E146="Intake",$E146="Active",$E146="Waiting")),"Yes","No"))</f>
        <v>Yes</v>
      </c>
      <c r="S146" s="66" t="str">
        <f aca="false">IF($A146="","",$C146&amp;" | "&amp;$D146)</f>
        <v>Immigration and visas | Petition or an evidence response being prepared</v>
      </c>
      <c r="T146" s="66" t="str">
        <f aca="false">IF($A146="","",IF(AND($L146="Outside provider",OR($E146="Intake",$E146="Active",$E146="Waiting")),"Yes","No"))</f>
        <v>No</v>
      </c>
    </row>
    <row r="147" customFormat="false" ht="15" hidden="false" customHeight="true" outlineLevel="0" collapsed="false">
      <c r="A147" s="67" t="s">
        <v>731</v>
      </c>
      <c r="B147" s="67" t="s">
        <v>732</v>
      </c>
      <c r="C147" s="67" t="s">
        <v>446</v>
      </c>
      <c r="D147" s="67" t="s">
        <v>473</v>
      </c>
      <c r="E147" s="67" t="str">
        <f aca="false">IF($A147="","",IFERROR(INDEX('Status map'!$D$6:$D$64,MATCH($C147&amp;" | "&amp;$D147,'Status map'!$I$6:$I$64,0)),"Unmapped"))</f>
        <v>Closed</v>
      </c>
      <c r="F147" s="67" t="s">
        <v>448</v>
      </c>
      <c r="G147" s="70" t="n">
        <v>46044</v>
      </c>
      <c r="H147" s="70" t="n">
        <v>46238</v>
      </c>
      <c r="I147" s="70" t="n">
        <v>46238</v>
      </c>
      <c r="J147" s="67" t="s">
        <v>449</v>
      </c>
      <c r="K147" s="67" t="s">
        <v>470</v>
      </c>
      <c r="L147" s="67" t="s">
        <v>451</v>
      </c>
      <c r="M147" s="66" t="str">
        <f aca="false">IF(OR($A147="",$H147&lt;&gt;""),"",Targets!$C$8-$I147)</f>
        <v/>
      </c>
      <c r="N147" s="66" t="str">
        <f aca="false">IF($A147="","",IF(AND($F147="Project",$E147="Active",$M147&lt;&gt;"",$M147&gt;Targets!$C$12),"Yes","No"))</f>
        <v>No</v>
      </c>
      <c r="O147" s="66" t="str">
        <f aca="false">IF($A147="","",IF(AND($G147&gt;=Targets!$C$7,$G147&lt;=Targets!$C$8),"Yes","No"))</f>
        <v>No</v>
      </c>
      <c r="P147" s="66" t="str">
        <f aca="false">IF($A147="","",IF(AND($H147&lt;&gt;"",$H147&gt;=Targets!$C$7,$H147&lt;=Targets!$C$8),"Yes","No"))</f>
        <v>Yes</v>
      </c>
      <c r="Q147" s="66" t="str">
        <f aca="false">IF($A147="","",IF(AND($F147="Project",$E147&lt;&gt;"Closed",$E147&lt;&gt;"Dormant"),"Yes","No"))</f>
        <v>No</v>
      </c>
      <c r="R147" s="66" t="str">
        <f aca="false">IF($A147="","",IF(AND($L147="In-house",OR($E147="Intake",$E147="Active",$E147="Waiting")),"Yes","No"))</f>
        <v>No</v>
      </c>
      <c r="S147" s="66" t="str">
        <f aca="false">IF($A147="","",$C147&amp;" | "&amp;$D147)</f>
        <v>Employment | Resolved or closed</v>
      </c>
      <c r="T147" s="66" t="str">
        <f aca="false">IF($A147="","",IF(AND($L147="Outside provider",OR($E147="Intake",$E147="Active",$E147="Waiting")),"Yes","No"))</f>
        <v>No</v>
      </c>
    </row>
    <row r="148" customFormat="false" ht="15" hidden="false" customHeight="true" outlineLevel="0" collapsed="false">
      <c r="A148" s="63" t="s">
        <v>239</v>
      </c>
      <c r="B148" s="63" t="s">
        <v>733</v>
      </c>
      <c r="C148" s="63" t="s">
        <v>454</v>
      </c>
      <c r="D148" s="63" t="s">
        <v>455</v>
      </c>
      <c r="E148" s="63" t="str">
        <f aca="false">IF($A148="","",IFERROR(INDEX('Status map'!$D$6:$D$64,MATCH($C148&amp;" | "&amp;$D148,'Status map'!$I$6:$I$64,0)),"Unmapped"))</f>
        <v>Closed</v>
      </c>
      <c r="F148" s="63" t="s">
        <v>448</v>
      </c>
      <c r="G148" s="69" t="n">
        <v>46237</v>
      </c>
      <c r="H148" s="69" t="n">
        <v>46246</v>
      </c>
      <c r="I148" s="69" t="n">
        <v>46246</v>
      </c>
      <c r="J148" s="63" t="s">
        <v>456</v>
      </c>
      <c r="K148" s="63" t="s">
        <v>462</v>
      </c>
      <c r="L148" s="63" t="s">
        <v>451</v>
      </c>
      <c r="M148" s="66" t="str">
        <f aca="false">IF(OR($A148="",$H148&lt;&gt;""),"",Targets!$C$8-$I148)</f>
        <v/>
      </c>
      <c r="N148" s="66" t="str">
        <f aca="false">IF($A148="","",IF(AND($F148="Project",$E148="Active",$M148&lt;&gt;"",$M148&gt;Targets!$C$12),"Yes","No"))</f>
        <v>No</v>
      </c>
      <c r="O148" s="66" t="str">
        <f aca="false">IF($A148="","",IF(AND($G148&gt;=Targets!$C$7,$G148&lt;=Targets!$C$8),"Yes","No"))</f>
        <v>Yes</v>
      </c>
      <c r="P148" s="66" t="str">
        <f aca="false">IF($A148="","",IF(AND($H148&lt;&gt;"",$H148&gt;=Targets!$C$7,$H148&lt;=Targets!$C$8),"Yes","No"))</f>
        <v>Yes</v>
      </c>
      <c r="Q148" s="66" t="str">
        <f aca="false">IF($A148="","",IF(AND($F148="Project",$E148&lt;&gt;"Closed",$E148&lt;&gt;"Dormant"),"Yes","No"))</f>
        <v>No</v>
      </c>
      <c r="R148" s="66" t="str">
        <f aca="false">IF($A148="","",IF(AND($L148="In-house",OR($E148="Intake",$E148="Active",$E148="Waiting")),"Yes","No"))</f>
        <v>No</v>
      </c>
      <c r="S148" s="66" t="str">
        <f aca="false">IF($A148="","",$C148&amp;" | "&amp;$D148)</f>
        <v>Litigation | Settled, dismissed, or judgment entered</v>
      </c>
      <c r="T148" s="66" t="str">
        <f aca="false">IF($A148="","",IF(AND($L148="Outside provider",OR($E148="Intake",$E148="Active",$E148="Waiting")),"Yes","No"))</f>
        <v>No</v>
      </c>
    </row>
    <row r="149" customFormat="false" ht="15" hidden="false" customHeight="true" outlineLevel="0" collapsed="false">
      <c r="A149" s="67" t="s">
        <v>363</v>
      </c>
      <c r="B149" s="67" t="s">
        <v>734</v>
      </c>
      <c r="C149" s="67" t="s">
        <v>465</v>
      </c>
      <c r="D149" s="67" t="s">
        <v>586</v>
      </c>
      <c r="E149" s="67" t="str">
        <f aca="false">IF($A149="","",IFERROR(INDEX('Status map'!$D$6:$D$64,MATCH($C149&amp;" | "&amp;$D149,'Status map'!$I$6:$I$64,0)),"Unmapped"))</f>
        <v>Waiting</v>
      </c>
      <c r="F149" s="67" t="s">
        <v>448</v>
      </c>
      <c r="G149" s="70" t="n">
        <v>46256</v>
      </c>
      <c r="H149" s="70"/>
      <c r="I149" s="70" t="n">
        <v>46261</v>
      </c>
      <c r="J149" s="67" t="s">
        <v>474</v>
      </c>
      <c r="K149" s="67" t="s">
        <v>474</v>
      </c>
      <c r="L149" s="67" t="s">
        <v>451</v>
      </c>
      <c r="M149" s="66" t="n">
        <f aca="false">IF(OR($A149="",$H149&lt;&gt;""),"",Targets!$C$8-$I149)</f>
        <v>4</v>
      </c>
      <c r="N149" s="66" t="str">
        <f aca="false">IF($A149="","",IF(AND($F149="Project",$E149="Active",$M149&lt;&gt;"",$M149&gt;Targets!$C$12),"Yes","No"))</f>
        <v>No</v>
      </c>
      <c r="O149" s="66" t="str">
        <f aca="false">IF($A149="","",IF(AND($G149&gt;=Targets!$C$7,$G149&lt;=Targets!$C$8),"Yes","No"))</f>
        <v>Yes</v>
      </c>
      <c r="P149" s="66" t="str">
        <f aca="false">IF($A149="","",IF(AND($H149&lt;&gt;"",$H149&gt;=Targets!$C$7,$H149&lt;=Targets!$C$8),"Yes","No"))</f>
        <v>No</v>
      </c>
      <c r="Q149" s="66" t="str">
        <f aca="false">IF($A149="","",IF(AND($F149="Project",$E149&lt;&gt;"Closed",$E149&lt;&gt;"Dormant"),"Yes","No"))</f>
        <v>Yes</v>
      </c>
      <c r="R149" s="66" t="str">
        <f aca="false">IF($A149="","",IF(AND($L149="In-house",OR($E149="Intake",$E149="Active",$E149="Waiting")),"Yes","No"))</f>
        <v>Yes</v>
      </c>
      <c r="S149" s="66" t="str">
        <f aca="false">IF($A149="","",$C149&amp;" | "&amp;$D149)</f>
        <v>Immigration and visas | Filed, awaiting a decision or with an evidence request pending</v>
      </c>
      <c r="T149" s="66" t="str">
        <f aca="false">IF($A149="","",IF(AND($L149="Outside provider",OR($E149="Intake",$E149="Active",$E149="Waiting")),"Yes","No"))</f>
        <v>No</v>
      </c>
    </row>
    <row r="150" customFormat="false" ht="15" hidden="false" customHeight="true" outlineLevel="0" collapsed="false">
      <c r="A150" s="63" t="s">
        <v>735</v>
      </c>
      <c r="B150" s="63" t="s">
        <v>736</v>
      </c>
      <c r="C150" s="63" t="s">
        <v>459</v>
      </c>
      <c r="D150" s="63" t="s">
        <v>534</v>
      </c>
      <c r="E150" s="63" t="str">
        <f aca="false">IF($A150="","",IFERROR(INDEX('Status map'!$D$6:$D$64,MATCH($C150&amp;" | "&amp;$D150,'Status map'!$I$6:$I$64,0)),"Unmapped"))</f>
        <v>Dormant</v>
      </c>
      <c r="F150" s="63" t="s">
        <v>510</v>
      </c>
      <c r="G150" s="69" t="n">
        <v>45065</v>
      </c>
      <c r="H150" s="69"/>
      <c r="I150" s="69" t="n">
        <v>45973</v>
      </c>
      <c r="J150" s="63" t="s">
        <v>492</v>
      </c>
      <c r="K150" s="63" t="s">
        <v>456</v>
      </c>
      <c r="L150" s="63" t="s">
        <v>451</v>
      </c>
      <c r="M150" s="66" t="n">
        <f aca="false">IF(OR($A150="",$H150&lt;&gt;""),"",Targets!$C$8-$I150)</f>
        <v>292</v>
      </c>
      <c r="N150" s="66" t="str">
        <f aca="false">IF($A150="","",IF(AND($F150="Project",$E150="Active",$M150&lt;&gt;"",$M150&gt;Targets!$C$12),"Yes","No"))</f>
        <v>No</v>
      </c>
      <c r="O150" s="66" t="str">
        <f aca="false">IF($A150="","",IF(AND($G150&gt;=Targets!$C$7,$G150&lt;=Targets!$C$8),"Yes","No"))</f>
        <v>No</v>
      </c>
      <c r="P150" s="66" t="str">
        <f aca="false">IF($A150="","",IF(AND($H150&lt;&gt;"",$H150&gt;=Targets!$C$7,$H150&lt;=Targets!$C$8),"Yes","No"))</f>
        <v>No</v>
      </c>
      <c r="Q150" s="66" t="str">
        <f aca="false">IF($A150="","",IF(AND($F150="Project",$E150&lt;&gt;"Closed",$E150&lt;&gt;"Dormant"),"Yes","No"))</f>
        <v>No</v>
      </c>
      <c r="R150" s="66" t="str">
        <f aca="false">IF($A150="","",IF(AND($L150="In-house",OR($E150="Intake",$E150="Active",$E150="Waiting")),"Yes","No"))</f>
        <v>No</v>
      </c>
      <c r="S150" s="66" t="str">
        <f aca="false">IF($A150="","",$C150&amp;" | "&amp;$D150)</f>
        <v>Contracts | Standing agreement tracked for renewal</v>
      </c>
      <c r="T150" s="66" t="str">
        <f aca="false">IF($A150="","",IF(AND($L150="Outside provider",OR($E150="Intake",$E150="Active",$E150="Waiting")),"Yes","No"))</f>
        <v>No</v>
      </c>
    </row>
    <row r="151" customFormat="false" ht="15" hidden="false" customHeight="true" outlineLevel="0" collapsed="false">
      <c r="A151" s="67" t="s">
        <v>737</v>
      </c>
      <c r="B151" s="67" t="s">
        <v>738</v>
      </c>
      <c r="C151" s="67" t="s">
        <v>459</v>
      </c>
      <c r="D151" s="67" t="s">
        <v>478</v>
      </c>
      <c r="E151" s="67" t="str">
        <f aca="false">IF($A151="","",IFERROR(INDEX('Status map'!$D$6:$D$64,MATCH($C151&amp;" | "&amp;$D151,'Status map'!$I$6:$I$64,0)),"Unmapped"))</f>
        <v>Closed</v>
      </c>
      <c r="F151" s="67" t="s">
        <v>448</v>
      </c>
      <c r="G151" s="70" t="n">
        <v>46037</v>
      </c>
      <c r="H151" s="70" t="n">
        <v>46084</v>
      </c>
      <c r="I151" s="70" t="n">
        <v>46084</v>
      </c>
      <c r="J151" s="67" t="s">
        <v>492</v>
      </c>
      <c r="K151" s="67" t="s">
        <v>461</v>
      </c>
      <c r="L151" s="67" t="s">
        <v>451</v>
      </c>
      <c r="M151" s="66" t="str">
        <f aca="false">IF(OR($A151="",$H151&lt;&gt;""),"",Targets!$C$8-$I151)</f>
        <v/>
      </c>
      <c r="N151" s="66" t="str">
        <f aca="false">IF($A151="","",IF(AND($F151="Project",$E151="Active",$M151&lt;&gt;"",$M151&gt;Targets!$C$12),"Yes","No"))</f>
        <v>No</v>
      </c>
      <c r="O151" s="66" t="str">
        <f aca="false">IF($A151="","",IF(AND($G151&gt;=Targets!$C$7,$G151&lt;=Targets!$C$8),"Yes","No"))</f>
        <v>No</v>
      </c>
      <c r="P151" s="66" t="str">
        <f aca="false">IF($A151="","",IF(AND($H151&lt;&gt;"",$H151&gt;=Targets!$C$7,$H151&lt;=Targets!$C$8),"Yes","No"))</f>
        <v>No</v>
      </c>
      <c r="Q151" s="66" t="str">
        <f aca="false">IF($A151="","",IF(AND($F151="Project",$E151&lt;&gt;"Closed",$E151&lt;&gt;"Dormant"),"Yes","No"))</f>
        <v>No</v>
      </c>
      <c r="R151" s="66" t="str">
        <f aca="false">IF($A151="","",IF(AND($L151="In-house",OR($E151="Intake",$E151="Active",$E151="Waiting")),"Yes","No"))</f>
        <v>No</v>
      </c>
      <c r="S151" s="66" t="str">
        <f aca="false">IF($A151="","",$C151&amp;" | "&amp;$D151)</f>
        <v>Contracts | Executed</v>
      </c>
      <c r="T151" s="66" t="str">
        <f aca="false">IF($A151="","",IF(AND($L151="Outside provider",OR($E151="Intake",$E151="Active",$E151="Waiting")),"Yes","No"))</f>
        <v>No</v>
      </c>
    </row>
    <row r="152" customFormat="false" ht="15" hidden="false" customHeight="true" outlineLevel="0" collapsed="false">
      <c r="A152" s="63" t="s">
        <v>739</v>
      </c>
      <c r="B152" s="63" t="s">
        <v>740</v>
      </c>
      <c r="C152" s="63" t="s">
        <v>459</v>
      </c>
      <c r="D152" s="63" t="s">
        <v>491</v>
      </c>
      <c r="E152" s="63" t="str">
        <f aca="false">IF($A152="","",IFERROR(INDEX('Status map'!$D$6:$D$64,MATCH($C152&amp;" | "&amp;$D152,'Status map'!$I$6:$I$64,0)),"Unmapped"))</f>
        <v>Active</v>
      </c>
      <c r="F152" s="63" t="s">
        <v>510</v>
      </c>
      <c r="G152" s="69" t="n">
        <v>45165</v>
      </c>
      <c r="H152" s="69"/>
      <c r="I152" s="69" t="n">
        <v>46223</v>
      </c>
      <c r="J152" s="63" t="s">
        <v>449</v>
      </c>
      <c r="K152" s="63" t="s">
        <v>450</v>
      </c>
      <c r="L152" s="63" t="s">
        <v>451</v>
      </c>
      <c r="M152" s="66" t="n">
        <f aca="false">IF(OR($A152="",$H152&lt;&gt;""),"",Targets!$C$8-$I152)</f>
        <v>42</v>
      </c>
      <c r="N152" s="66" t="str">
        <f aca="false">IF($A152="","",IF(AND($F152="Project",$E152="Active",$M152&lt;&gt;"",$M152&gt;Targets!$C$12),"Yes","No"))</f>
        <v>No</v>
      </c>
      <c r="O152" s="66" t="str">
        <f aca="false">IF($A152="","",IF(AND($G152&gt;=Targets!$C$7,$G152&lt;=Targets!$C$8),"Yes","No"))</f>
        <v>No</v>
      </c>
      <c r="P152" s="66" t="str">
        <f aca="false">IF($A152="","",IF(AND($H152&lt;&gt;"",$H152&gt;=Targets!$C$7,$H152&lt;=Targets!$C$8),"Yes","No"))</f>
        <v>No</v>
      </c>
      <c r="Q152" s="66" t="str">
        <f aca="false">IF($A152="","",IF(AND($F152="Project",$E152&lt;&gt;"Closed",$E152&lt;&gt;"Dormant"),"Yes","No"))</f>
        <v>No</v>
      </c>
      <c r="R152" s="66" t="str">
        <f aca="false">IF($A152="","",IF(AND($L152="In-house",OR($E152="Intake",$E152="Active",$E152="Waiting")),"Yes","No"))</f>
        <v>Yes</v>
      </c>
      <c r="S152" s="66" t="str">
        <f aca="false">IF($A152="","",$C152&amp;" | "&amp;$D152)</f>
        <v>Contracts | Drafting, review, or negotiation</v>
      </c>
      <c r="T152" s="66" t="str">
        <f aca="false">IF($A152="","",IF(AND($L152="Outside provider",OR($E152="Intake",$E152="Active",$E152="Waiting")),"Yes","No"))</f>
        <v>No</v>
      </c>
    </row>
    <row r="153" customFormat="false" ht="15" hidden="false" customHeight="true" outlineLevel="0" collapsed="false">
      <c r="A153" s="67" t="s">
        <v>741</v>
      </c>
      <c r="B153" s="67" t="s">
        <v>742</v>
      </c>
      <c r="C153" s="67" t="s">
        <v>487</v>
      </c>
      <c r="D153" s="67" t="s">
        <v>601</v>
      </c>
      <c r="E153" s="67" t="str">
        <f aca="false">IF($A153="","",IFERROR(INDEX('Status map'!$D$6:$D$64,MATCH($C153&amp;" | "&amp;$D153,'Status map'!$I$6:$I$64,0)),"Unmapped"))</f>
        <v>Closed</v>
      </c>
      <c r="F153" s="67" t="s">
        <v>482</v>
      </c>
      <c r="G153" s="70" t="n">
        <v>46050</v>
      </c>
      <c r="H153" s="70" t="n">
        <v>46238</v>
      </c>
      <c r="I153" s="70" t="n">
        <v>46238</v>
      </c>
      <c r="J153" s="67" t="s">
        <v>456</v>
      </c>
      <c r="K153" s="67" t="s">
        <v>474</v>
      </c>
      <c r="L153" s="67" t="s">
        <v>451</v>
      </c>
      <c r="M153" s="66" t="str">
        <f aca="false">IF(OR($A153="",$H153&lt;&gt;""),"",Targets!$C$8-$I153)</f>
        <v/>
      </c>
      <c r="N153" s="66" t="str">
        <f aca="false">IF($A153="","",IF(AND($F153="Project",$E153="Active",$M153&lt;&gt;"",$M153&gt;Targets!$C$12),"Yes","No"))</f>
        <v>No</v>
      </c>
      <c r="O153" s="66" t="str">
        <f aca="false">IF($A153="","",IF(AND($G153&gt;=Targets!$C$7,$G153&lt;=Targets!$C$8),"Yes","No"))</f>
        <v>No</v>
      </c>
      <c r="P153" s="66" t="str">
        <f aca="false">IF($A153="","",IF(AND($H153&lt;&gt;"",$H153&gt;=Targets!$C$7,$H153&lt;=Targets!$C$8),"Yes","No"))</f>
        <v>Yes</v>
      </c>
      <c r="Q153" s="66" t="str">
        <f aca="false">IF($A153="","",IF(AND($F153="Project",$E153&lt;&gt;"Closed",$E153&lt;&gt;"Dormant"),"Yes","No"))</f>
        <v>No</v>
      </c>
      <c r="R153" s="66" t="str">
        <f aca="false">IF($A153="","",IF(AND($L153="In-house",OR($E153="Intake",$E153="Active",$E153="Waiting")),"Yes","No"))</f>
        <v>No</v>
      </c>
      <c r="S153" s="66" t="str">
        <f aca="false">IF($A153="","",$C153&amp;" | "&amp;$D153)</f>
        <v>Corporate and entity management | Entity dissolved</v>
      </c>
      <c r="T153" s="66" t="str">
        <f aca="false">IF($A153="","",IF(AND($L153="Outside provider",OR($E153="Intake",$E153="Active",$E153="Waiting")),"Yes","No"))</f>
        <v>No</v>
      </c>
    </row>
    <row r="154" customFormat="false" ht="15" hidden="false" customHeight="true" outlineLevel="0" collapsed="false">
      <c r="A154" s="63" t="s">
        <v>277</v>
      </c>
      <c r="B154" s="63" t="s">
        <v>743</v>
      </c>
      <c r="C154" s="63" t="s">
        <v>501</v>
      </c>
      <c r="D154" s="63" t="s">
        <v>502</v>
      </c>
      <c r="E154" s="63" t="str">
        <f aca="false">IF($A154="","",IFERROR(INDEX('Status map'!$D$6:$D$64,MATCH($C154&amp;" | "&amp;$D154,'Status map'!$I$6:$I$64,0)),"Unmapped"))</f>
        <v>Closed</v>
      </c>
      <c r="F154" s="63" t="s">
        <v>448</v>
      </c>
      <c r="G154" s="69" t="n">
        <v>46260</v>
      </c>
      <c r="H154" s="69" t="n">
        <v>46261</v>
      </c>
      <c r="I154" s="69" t="n">
        <v>46261</v>
      </c>
      <c r="J154" s="63" t="s">
        <v>470</v>
      </c>
      <c r="K154" s="63" t="s">
        <v>462</v>
      </c>
      <c r="L154" s="63" t="s">
        <v>451</v>
      </c>
      <c r="M154" s="66" t="str">
        <f aca="false">IF(OR($A154="",$H154&lt;&gt;""),"",Targets!$C$8-$I154)</f>
        <v/>
      </c>
      <c r="N154" s="66" t="str">
        <f aca="false">IF($A154="","",IF(AND($F154="Project",$E154="Active",$M154&lt;&gt;"",$M154&gt;Targets!$C$12),"Yes","No"))</f>
        <v>No</v>
      </c>
      <c r="O154" s="66" t="str">
        <f aca="false">IF($A154="","",IF(AND($G154&gt;=Targets!$C$7,$G154&lt;=Targets!$C$8),"Yes","No"))</f>
        <v>Yes</v>
      </c>
      <c r="P154" s="66" t="str">
        <f aca="false">IF($A154="","",IF(AND($H154&lt;&gt;"",$H154&gt;=Targets!$C$7,$H154&lt;=Targets!$C$8),"Yes","No"))</f>
        <v>Yes</v>
      </c>
      <c r="Q154" s="66" t="str">
        <f aca="false">IF($A154="","",IF(AND($F154="Project",$E154&lt;&gt;"Closed",$E154&lt;&gt;"Dormant"),"Yes","No"))</f>
        <v>No</v>
      </c>
      <c r="R154" s="66" t="str">
        <f aca="false">IF($A154="","",IF(AND($L154="In-house",OR($E154="Intake",$E154="Active",$E154="Waiting")),"Yes","No"))</f>
        <v>No</v>
      </c>
      <c r="S154" s="66" t="str">
        <f aca="false">IF($A154="","",$C154&amp;" | "&amp;$D154)</f>
        <v>M&amp;A and corporate deals | Deal closed</v>
      </c>
      <c r="T154" s="66" t="str">
        <f aca="false">IF($A154="","",IF(AND($L154="Outside provider",OR($E154="Intake",$E154="Active",$E154="Waiting")),"Yes","No"))</f>
        <v>No</v>
      </c>
    </row>
    <row r="155" customFormat="false" ht="15" hidden="false" customHeight="true" outlineLevel="0" collapsed="false">
      <c r="A155" s="67" t="s">
        <v>744</v>
      </c>
      <c r="B155" s="67" t="s">
        <v>745</v>
      </c>
      <c r="C155" s="67" t="s">
        <v>446</v>
      </c>
      <c r="D155" s="67" t="s">
        <v>563</v>
      </c>
      <c r="E155" s="67" t="str">
        <f aca="false">IF($A155="","",IFERROR(INDEX('Status map'!$D$6:$D$64,MATCH($C155&amp;" | "&amp;$D155,'Status map'!$I$6:$I$64,0)),"Unmapped"))</f>
        <v>Waiting</v>
      </c>
      <c r="F155" s="67" t="s">
        <v>448</v>
      </c>
      <c r="G155" s="70" t="n">
        <v>46056</v>
      </c>
      <c r="H155" s="70"/>
      <c r="I155" s="70" t="n">
        <v>46264</v>
      </c>
      <c r="J155" s="67" t="s">
        <v>461</v>
      </c>
      <c r="K155" s="67" t="s">
        <v>461</v>
      </c>
      <c r="L155" s="67" t="s">
        <v>451</v>
      </c>
      <c r="M155" s="66" t="n">
        <f aca="false">IF(OR($A155="",$H155&lt;&gt;""),"",Targets!$C$8-$I155)</f>
        <v>1</v>
      </c>
      <c r="N155" s="66" t="str">
        <f aca="false">IF($A155="","",IF(AND($F155="Project",$E155="Active",$M155&lt;&gt;"",$M155&gt;Targets!$C$12),"Yes","No"))</f>
        <v>No</v>
      </c>
      <c r="O155" s="66" t="str">
        <f aca="false">IF($A155="","",IF(AND($G155&gt;=Targets!$C$7,$G155&lt;=Targets!$C$8),"Yes","No"))</f>
        <v>No</v>
      </c>
      <c r="P155" s="66" t="str">
        <f aca="false">IF($A155="","",IF(AND($H155&lt;&gt;"",$H155&gt;=Targets!$C$7,$H155&lt;=Targets!$C$8),"Yes","No"))</f>
        <v>No</v>
      </c>
      <c r="Q155" s="66" t="str">
        <f aca="false">IF($A155="","",IF(AND($F155="Project",$E155&lt;&gt;"Closed",$E155&lt;&gt;"Dormant"),"Yes","No"))</f>
        <v>Yes</v>
      </c>
      <c r="R155" s="66" t="str">
        <f aca="false">IF($A155="","",IF(AND($L155="In-house",OR($E155="Intake",$E155="Active",$E155="Waiting")),"Yes","No"))</f>
        <v>Yes</v>
      </c>
      <c r="S155" s="66" t="str">
        <f aca="false">IF($A155="","",$C155&amp;" | "&amp;$D155)</f>
        <v>Employment | Awaiting the employee, an agency, or outside counsel</v>
      </c>
      <c r="T155" s="66" t="str">
        <f aca="false">IF($A155="","",IF(AND($L155="Outside provider",OR($E155="Intake",$E155="Active",$E155="Waiting")),"Yes","No"))</f>
        <v>No</v>
      </c>
    </row>
    <row r="156" customFormat="false" ht="15" hidden="false" customHeight="true" outlineLevel="0" collapsed="false">
      <c r="A156" s="63" t="s">
        <v>746</v>
      </c>
      <c r="B156" s="63" t="s">
        <v>633</v>
      </c>
      <c r="C156" s="63" t="s">
        <v>446</v>
      </c>
      <c r="D156" s="63" t="s">
        <v>563</v>
      </c>
      <c r="E156" s="63" t="str">
        <f aca="false">IF($A156="","",IFERROR(INDEX('Status map'!$D$6:$D$64,MATCH($C156&amp;" | "&amp;$D156,'Status map'!$I$6:$I$64,0)),"Unmapped"))</f>
        <v>Waiting</v>
      </c>
      <c r="F156" s="63" t="s">
        <v>448</v>
      </c>
      <c r="G156" s="69" t="n">
        <v>46008</v>
      </c>
      <c r="H156" s="69"/>
      <c r="I156" s="69" t="n">
        <v>46255</v>
      </c>
      <c r="J156" s="63" t="s">
        <v>462</v>
      </c>
      <c r="K156" s="63" t="s">
        <v>470</v>
      </c>
      <c r="L156" s="63" t="s">
        <v>451</v>
      </c>
      <c r="M156" s="66" t="n">
        <f aca="false">IF(OR($A156="",$H156&lt;&gt;""),"",Targets!$C$8-$I156)</f>
        <v>10</v>
      </c>
      <c r="N156" s="66" t="str">
        <f aca="false">IF($A156="","",IF(AND($F156="Project",$E156="Active",$M156&lt;&gt;"",$M156&gt;Targets!$C$12),"Yes","No"))</f>
        <v>No</v>
      </c>
      <c r="O156" s="66" t="str">
        <f aca="false">IF($A156="","",IF(AND($G156&gt;=Targets!$C$7,$G156&lt;=Targets!$C$8),"Yes","No"))</f>
        <v>No</v>
      </c>
      <c r="P156" s="66" t="str">
        <f aca="false">IF($A156="","",IF(AND($H156&lt;&gt;"",$H156&gt;=Targets!$C$7,$H156&lt;=Targets!$C$8),"Yes","No"))</f>
        <v>No</v>
      </c>
      <c r="Q156" s="66" t="str">
        <f aca="false">IF($A156="","",IF(AND($F156="Project",$E156&lt;&gt;"Closed",$E156&lt;&gt;"Dormant"),"Yes","No"))</f>
        <v>Yes</v>
      </c>
      <c r="R156" s="66" t="str">
        <f aca="false">IF($A156="","",IF(AND($L156="In-house",OR($E156="Intake",$E156="Active",$E156="Waiting")),"Yes","No"))</f>
        <v>Yes</v>
      </c>
      <c r="S156" s="66" t="str">
        <f aca="false">IF($A156="","",$C156&amp;" | "&amp;$D156)</f>
        <v>Employment | Awaiting the employee, an agency, or outside counsel</v>
      </c>
      <c r="T156" s="66" t="str">
        <f aca="false">IF($A156="","",IF(AND($L156="Outside provider",OR($E156="Intake",$E156="Active",$E156="Waiting")),"Yes","No"))</f>
        <v>No</v>
      </c>
    </row>
    <row r="157" customFormat="false" ht="15" hidden="false" customHeight="true" outlineLevel="0" collapsed="false">
      <c r="A157" s="67" t="s">
        <v>747</v>
      </c>
      <c r="B157" s="67" t="s">
        <v>748</v>
      </c>
      <c r="C157" s="67" t="s">
        <v>446</v>
      </c>
      <c r="D157" s="67" t="s">
        <v>473</v>
      </c>
      <c r="E157" s="67" t="str">
        <f aca="false">IF($A157="","",IFERROR(INDEX('Status map'!$D$6:$D$64,MATCH($C157&amp;" | "&amp;$D157,'Status map'!$I$6:$I$64,0)),"Unmapped"))</f>
        <v>Closed</v>
      </c>
      <c r="F157" s="67" t="s">
        <v>482</v>
      </c>
      <c r="G157" s="70" t="n">
        <v>45805</v>
      </c>
      <c r="H157" s="70" t="n">
        <v>45975</v>
      </c>
      <c r="I157" s="70" t="n">
        <v>45975</v>
      </c>
      <c r="J157" s="67" t="s">
        <v>474</v>
      </c>
      <c r="K157" s="67" t="s">
        <v>461</v>
      </c>
      <c r="L157" s="67" t="s">
        <v>451</v>
      </c>
      <c r="M157" s="66" t="str">
        <f aca="false">IF(OR($A157="",$H157&lt;&gt;""),"",Targets!$C$8-$I157)</f>
        <v/>
      </c>
      <c r="N157" s="66" t="str">
        <f aca="false">IF($A157="","",IF(AND($F157="Project",$E157="Active",$M157&lt;&gt;"",$M157&gt;Targets!$C$12),"Yes","No"))</f>
        <v>No</v>
      </c>
      <c r="O157" s="66" t="str">
        <f aca="false">IF($A157="","",IF(AND($G157&gt;=Targets!$C$7,$G157&lt;=Targets!$C$8),"Yes","No"))</f>
        <v>No</v>
      </c>
      <c r="P157" s="66" t="str">
        <f aca="false">IF($A157="","",IF(AND($H157&lt;&gt;"",$H157&gt;=Targets!$C$7,$H157&lt;=Targets!$C$8),"Yes","No"))</f>
        <v>No</v>
      </c>
      <c r="Q157" s="66" t="str">
        <f aca="false">IF($A157="","",IF(AND($F157="Project",$E157&lt;&gt;"Closed",$E157&lt;&gt;"Dormant"),"Yes","No"))</f>
        <v>No</v>
      </c>
      <c r="R157" s="66" t="str">
        <f aca="false">IF($A157="","",IF(AND($L157="In-house",OR($E157="Intake",$E157="Active",$E157="Waiting")),"Yes","No"))</f>
        <v>No</v>
      </c>
      <c r="S157" s="66" t="str">
        <f aca="false">IF($A157="","",$C157&amp;" | "&amp;$D157)</f>
        <v>Employment | Resolved or closed</v>
      </c>
      <c r="T157" s="66" t="str">
        <f aca="false">IF($A157="","",IF(AND($L157="Outside provider",OR($E157="Intake",$E157="Active",$E157="Waiting")),"Yes","No"))</f>
        <v>No</v>
      </c>
    </row>
    <row r="158" customFormat="false" ht="15" hidden="false" customHeight="true" outlineLevel="0" collapsed="false">
      <c r="A158" s="63" t="s">
        <v>749</v>
      </c>
      <c r="B158" s="63" t="s">
        <v>750</v>
      </c>
      <c r="C158" s="63" t="s">
        <v>487</v>
      </c>
      <c r="D158" s="63" t="s">
        <v>751</v>
      </c>
      <c r="E158" s="63" t="str">
        <f aca="false">IF($A158="","",IFERROR(INDEX('Status map'!$D$6:$D$64,MATCH($C158&amp;" | "&amp;$D158,'Status map'!$I$6:$I$64,0)),"Unmapped"))</f>
        <v>Waiting</v>
      </c>
      <c r="F158" s="63" t="s">
        <v>482</v>
      </c>
      <c r="G158" s="69" t="n">
        <v>46121</v>
      </c>
      <c r="H158" s="69"/>
      <c r="I158" s="69" t="n">
        <v>46251</v>
      </c>
      <c r="J158" s="63" t="s">
        <v>449</v>
      </c>
      <c r="K158" s="63" t="s">
        <v>456</v>
      </c>
      <c r="L158" s="63" t="s">
        <v>451</v>
      </c>
      <c r="M158" s="66" t="n">
        <f aca="false">IF(OR($A158="",$H158&lt;&gt;""),"",Targets!$C$8-$I158)</f>
        <v>14</v>
      </c>
      <c r="N158" s="66" t="str">
        <f aca="false">IF($A158="","",IF(AND($F158="Project",$E158="Active",$M158&lt;&gt;"",$M158&gt;Targets!$C$12),"Yes","No"))</f>
        <v>No</v>
      </c>
      <c r="O158" s="66" t="str">
        <f aca="false">IF($A158="","",IF(AND($G158&gt;=Targets!$C$7,$G158&lt;=Targets!$C$8),"Yes","No"))</f>
        <v>No</v>
      </c>
      <c r="P158" s="66" t="str">
        <f aca="false">IF($A158="","",IF(AND($H158&lt;&gt;"",$H158&gt;=Targets!$C$7,$H158&lt;=Targets!$C$8),"Yes","No"))</f>
        <v>No</v>
      </c>
      <c r="Q158" s="66" t="str">
        <f aca="false">IF($A158="","",IF(AND($F158="Project",$E158&lt;&gt;"Closed",$E158&lt;&gt;"Dormant"),"Yes","No"))</f>
        <v>No</v>
      </c>
      <c r="R158" s="66" t="str">
        <f aca="false">IF($A158="","",IF(AND($L158="In-house",OR($E158="Intake",$E158="Active",$E158="Waiting")),"Yes","No"))</f>
        <v>Yes</v>
      </c>
      <c r="S158" s="66" t="str">
        <f aca="false">IF($A158="","",$C158&amp;" | "&amp;$D158)</f>
        <v>Corporate and entity management | Awaiting a state or registry filing to process</v>
      </c>
      <c r="T158" s="66" t="str">
        <f aca="false">IF($A158="","",IF(AND($L158="Outside provider",OR($E158="Intake",$E158="Active",$E158="Waiting")),"Yes","No"))</f>
        <v>No</v>
      </c>
    </row>
    <row r="159" customFormat="false" ht="15" hidden="false" customHeight="true" outlineLevel="0" collapsed="false">
      <c r="A159" s="67" t="s">
        <v>752</v>
      </c>
      <c r="B159" s="67" t="s">
        <v>753</v>
      </c>
      <c r="C159" s="67" t="s">
        <v>465</v>
      </c>
      <c r="D159" s="67" t="s">
        <v>469</v>
      </c>
      <c r="E159" s="67" t="str">
        <f aca="false">IF($A159="","",IFERROR(INDEX('Status map'!$D$6:$D$64,MATCH($C159&amp;" | "&amp;$D159,'Status map'!$I$6:$I$64,0)),"Unmapped"))</f>
        <v>Active</v>
      </c>
      <c r="F159" s="67" t="s">
        <v>448</v>
      </c>
      <c r="G159" s="70" t="n">
        <v>46226</v>
      </c>
      <c r="H159" s="70"/>
      <c r="I159" s="70" t="n">
        <v>46259</v>
      </c>
      <c r="J159" s="67" t="s">
        <v>449</v>
      </c>
      <c r="K159" s="67" t="s">
        <v>449</v>
      </c>
      <c r="L159" s="67" t="s">
        <v>451</v>
      </c>
      <c r="M159" s="66" t="n">
        <f aca="false">IF(OR($A159="",$H159&lt;&gt;""),"",Targets!$C$8-$I159)</f>
        <v>6</v>
      </c>
      <c r="N159" s="66" t="str">
        <f aca="false">IF($A159="","",IF(AND($F159="Project",$E159="Active",$M159&lt;&gt;"",$M159&gt;Targets!$C$12),"Yes","No"))</f>
        <v>No</v>
      </c>
      <c r="O159" s="66" t="str">
        <f aca="false">IF($A159="","",IF(AND($G159&gt;=Targets!$C$7,$G159&lt;=Targets!$C$8),"Yes","No"))</f>
        <v>No</v>
      </c>
      <c r="P159" s="66" t="str">
        <f aca="false">IF($A159="","",IF(AND($H159&lt;&gt;"",$H159&gt;=Targets!$C$7,$H159&lt;=Targets!$C$8),"Yes","No"))</f>
        <v>No</v>
      </c>
      <c r="Q159" s="66" t="str">
        <f aca="false">IF($A159="","",IF(AND($F159="Project",$E159&lt;&gt;"Closed",$E159&lt;&gt;"Dormant"),"Yes","No"))</f>
        <v>Yes</v>
      </c>
      <c r="R159" s="66" t="str">
        <f aca="false">IF($A159="","",IF(AND($L159="In-house",OR($E159="Intake",$E159="Active",$E159="Waiting")),"Yes","No"))</f>
        <v>Yes</v>
      </c>
      <c r="S159" s="66" t="str">
        <f aca="false">IF($A159="","",$C159&amp;" | "&amp;$D159)</f>
        <v>Immigration and visas | Petition or an evidence response being prepared</v>
      </c>
      <c r="T159" s="66" t="str">
        <f aca="false">IF($A159="","",IF(AND($L159="Outside provider",OR($E159="Intake",$E159="Active",$E159="Waiting")),"Yes","No"))</f>
        <v>No</v>
      </c>
    </row>
    <row r="160" customFormat="false" ht="15" hidden="false" customHeight="true" outlineLevel="0" collapsed="false">
      <c r="A160" s="63" t="s">
        <v>754</v>
      </c>
      <c r="B160" s="63" t="s">
        <v>755</v>
      </c>
      <c r="C160" s="63" t="s">
        <v>501</v>
      </c>
      <c r="D160" s="63" t="s">
        <v>502</v>
      </c>
      <c r="E160" s="63" t="str">
        <f aca="false">IF($A160="","",IFERROR(INDEX('Status map'!$D$6:$D$64,MATCH($C160&amp;" | "&amp;$D160,'Status map'!$I$6:$I$64,0)),"Unmapped"))</f>
        <v>Closed</v>
      </c>
      <c r="F160" s="63" t="s">
        <v>448</v>
      </c>
      <c r="G160" s="69" t="n">
        <v>46147</v>
      </c>
      <c r="H160" s="69" t="n">
        <v>46260</v>
      </c>
      <c r="I160" s="69" t="n">
        <v>46260</v>
      </c>
      <c r="J160" s="63" t="s">
        <v>474</v>
      </c>
      <c r="K160" s="63" t="s">
        <v>474</v>
      </c>
      <c r="L160" s="63" t="s">
        <v>451</v>
      </c>
      <c r="M160" s="66" t="str">
        <f aca="false">IF(OR($A160="",$H160&lt;&gt;""),"",Targets!$C$8-$I160)</f>
        <v/>
      </c>
      <c r="N160" s="66" t="str">
        <f aca="false">IF($A160="","",IF(AND($F160="Project",$E160="Active",$M160&lt;&gt;"",$M160&gt;Targets!$C$12),"Yes","No"))</f>
        <v>No</v>
      </c>
      <c r="O160" s="66" t="str">
        <f aca="false">IF($A160="","",IF(AND($G160&gt;=Targets!$C$7,$G160&lt;=Targets!$C$8),"Yes","No"))</f>
        <v>No</v>
      </c>
      <c r="P160" s="66" t="str">
        <f aca="false">IF($A160="","",IF(AND($H160&lt;&gt;"",$H160&gt;=Targets!$C$7,$H160&lt;=Targets!$C$8),"Yes","No"))</f>
        <v>Yes</v>
      </c>
      <c r="Q160" s="66" t="str">
        <f aca="false">IF($A160="","",IF(AND($F160="Project",$E160&lt;&gt;"Closed",$E160&lt;&gt;"Dormant"),"Yes","No"))</f>
        <v>No</v>
      </c>
      <c r="R160" s="66" t="str">
        <f aca="false">IF($A160="","",IF(AND($L160="In-house",OR($E160="Intake",$E160="Active",$E160="Waiting")),"Yes","No"))</f>
        <v>No</v>
      </c>
      <c r="S160" s="66" t="str">
        <f aca="false">IF($A160="","",$C160&amp;" | "&amp;$D160)</f>
        <v>M&amp;A and corporate deals | Deal closed</v>
      </c>
      <c r="T160" s="66" t="str">
        <f aca="false">IF($A160="","",IF(AND($L160="Outside provider",OR($E160="Intake",$E160="Active",$E160="Waiting")),"Yes","No"))</f>
        <v>No</v>
      </c>
    </row>
    <row r="161" customFormat="false" ht="15" hidden="false" customHeight="true" outlineLevel="0" collapsed="false">
      <c r="A161" s="67" t="s">
        <v>300</v>
      </c>
      <c r="B161" s="67" t="s">
        <v>756</v>
      </c>
      <c r="C161" s="67" t="s">
        <v>459</v>
      </c>
      <c r="D161" s="67" t="s">
        <v>491</v>
      </c>
      <c r="E161" s="67" t="str">
        <f aca="false">IF($A161="","",IFERROR(INDEX('Status map'!$D$6:$D$64,MATCH($C161&amp;" | "&amp;$D161,'Status map'!$I$6:$I$64,0)),"Unmapped"))</f>
        <v>Active</v>
      </c>
      <c r="F161" s="67" t="s">
        <v>448</v>
      </c>
      <c r="G161" s="70" t="n">
        <v>46262</v>
      </c>
      <c r="H161" s="70"/>
      <c r="I161" s="70" t="n">
        <v>46176</v>
      </c>
      <c r="J161" s="67" t="s">
        <v>474</v>
      </c>
      <c r="K161" s="67" t="s">
        <v>492</v>
      </c>
      <c r="L161" s="67" t="s">
        <v>451</v>
      </c>
      <c r="M161" s="66" t="n">
        <f aca="false">IF(OR($A161="",$H161&lt;&gt;""),"",Targets!$C$8-$I161)</f>
        <v>89</v>
      </c>
      <c r="N161" s="66" t="str">
        <f aca="false">IF($A161="","",IF(AND($F161="Project",$E161="Active",$M161&lt;&gt;"",$M161&gt;Targets!$C$12),"Yes","No"))</f>
        <v>Yes</v>
      </c>
      <c r="O161" s="66" t="str">
        <f aca="false">IF($A161="","",IF(AND($G161&gt;=Targets!$C$7,$G161&lt;=Targets!$C$8),"Yes","No"))</f>
        <v>Yes</v>
      </c>
      <c r="P161" s="66" t="str">
        <f aca="false">IF($A161="","",IF(AND($H161&lt;&gt;"",$H161&gt;=Targets!$C$7,$H161&lt;=Targets!$C$8),"Yes","No"))</f>
        <v>No</v>
      </c>
      <c r="Q161" s="66" t="str">
        <f aca="false">IF($A161="","",IF(AND($F161="Project",$E161&lt;&gt;"Closed",$E161&lt;&gt;"Dormant"),"Yes","No"))</f>
        <v>Yes</v>
      </c>
      <c r="R161" s="66" t="str">
        <f aca="false">IF($A161="","",IF(AND($L161="In-house",OR($E161="Intake",$E161="Active",$E161="Waiting")),"Yes","No"))</f>
        <v>Yes</v>
      </c>
      <c r="S161" s="66" t="str">
        <f aca="false">IF($A161="","",$C161&amp;" | "&amp;$D161)</f>
        <v>Contracts | Drafting, review, or negotiation</v>
      </c>
      <c r="T161" s="66" t="str">
        <f aca="false">IF($A161="","",IF(AND($L161="Outside provider",OR($E161="Intake",$E161="Active",$E161="Waiting")),"Yes","No"))</f>
        <v>No</v>
      </c>
    </row>
    <row r="162" customFormat="false" ht="15" hidden="false" customHeight="true" outlineLevel="0" collapsed="false">
      <c r="A162" s="63" t="s">
        <v>305</v>
      </c>
      <c r="B162" s="63" t="s">
        <v>757</v>
      </c>
      <c r="C162" s="63" t="s">
        <v>459</v>
      </c>
      <c r="D162" s="63" t="s">
        <v>481</v>
      </c>
      <c r="E162" s="63" t="str">
        <f aca="false">IF($A162="","",IFERROR(INDEX('Status map'!$D$6:$D$64,MATCH($C162&amp;" | "&amp;$D162,'Status map'!$I$6:$I$64,0)),"Unmapped"))</f>
        <v>Closed</v>
      </c>
      <c r="F162" s="63" t="s">
        <v>448</v>
      </c>
      <c r="G162" s="69" t="n">
        <v>46253</v>
      </c>
      <c r="H162" s="69" t="n">
        <v>46257</v>
      </c>
      <c r="I162" s="69" t="n">
        <v>46257</v>
      </c>
      <c r="J162" s="63" t="s">
        <v>470</v>
      </c>
      <c r="K162" s="63" t="s">
        <v>474</v>
      </c>
      <c r="L162" s="63" t="s">
        <v>451</v>
      </c>
      <c r="M162" s="66" t="str">
        <f aca="false">IF(OR($A162="",$H162&lt;&gt;""),"",Targets!$C$8-$I162)</f>
        <v/>
      </c>
      <c r="N162" s="66" t="str">
        <f aca="false">IF($A162="","",IF(AND($F162="Project",$E162="Active",$M162&lt;&gt;"",$M162&gt;Targets!$C$12),"Yes","No"))</f>
        <v>No</v>
      </c>
      <c r="O162" s="66" t="str">
        <f aca="false">IF($A162="","",IF(AND($G162&gt;=Targets!$C$7,$G162&lt;=Targets!$C$8),"Yes","No"))</f>
        <v>Yes</v>
      </c>
      <c r="P162" s="66" t="str">
        <f aca="false">IF($A162="","",IF(AND($H162&lt;&gt;"",$H162&gt;=Targets!$C$7,$H162&lt;=Targets!$C$8),"Yes","No"))</f>
        <v>Yes</v>
      </c>
      <c r="Q162" s="66" t="str">
        <f aca="false">IF($A162="","",IF(AND($F162="Project",$E162&lt;&gt;"Closed",$E162&lt;&gt;"Dormant"),"Yes","No"))</f>
        <v>No</v>
      </c>
      <c r="R162" s="66" t="str">
        <f aca="false">IF($A162="","",IF(AND($L162="In-house",OR($E162="Intake",$E162="Active",$E162="Waiting")),"Yes","No"))</f>
        <v>No</v>
      </c>
      <c r="S162" s="66" t="str">
        <f aca="false">IF($A162="","",$C162&amp;" | "&amp;$D162)</f>
        <v>Contracts | Expired or terminated</v>
      </c>
      <c r="T162" s="66" t="str">
        <f aca="false">IF($A162="","",IF(AND($L162="Outside provider",OR($E162="Intake",$E162="Active",$E162="Waiting")),"Yes","No"))</f>
        <v>No</v>
      </c>
    </row>
    <row r="163" customFormat="false" ht="15" hidden="false" customHeight="true" outlineLevel="0" collapsed="false">
      <c r="A163" s="67" t="s">
        <v>758</v>
      </c>
      <c r="B163" s="67" t="s">
        <v>759</v>
      </c>
      <c r="C163" s="67" t="s">
        <v>459</v>
      </c>
      <c r="D163" s="67" t="s">
        <v>534</v>
      </c>
      <c r="E163" s="67" t="str">
        <f aca="false">IF($A163="","",IFERROR(INDEX('Status map'!$D$6:$D$64,MATCH($C163&amp;" | "&amp;$D163,'Status map'!$I$6:$I$64,0)),"Unmapped"))</f>
        <v>Dormant</v>
      </c>
      <c r="F163" s="67" t="s">
        <v>510</v>
      </c>
      <c r="G163" s="70" t="n">
        <v>46243</v>
      </c>
      <c r="H163" s="70"/>
      <c r="I163" s="70" t="n">
        <v>46072</v>
      </c>
      <c r="J163" s="67" t="s">
        <v>450</v>
      </c>
      <c r="K163" s="67" t="s">
        <v>492</v>
      </c>
      <c r="L163" s="67" t="s">
        <v>451</v>
      </c>
      <c r="M163" s="66" t="n">
        <f aca="false">IF(OR($A163="",$H163&lt;&gt;""),"",Targets!$C$8-$I163)</f>
        <v>193</v>
      </c>
      <c r="N163" s="66" t="str">
        <f aca="false">IF($A163="","",IF(AND($F163="Project",$E163="Active",$M163&lt;&gt;"",$M163&gt;Targets!$C$12),"Yes","No"))</f>
        <v>No</v>
      </c>
      <c r="O163" s="66" t="str">
        <f aca="false">IF($A163="","",IF(AND($G163&gt;=Targets!$C$7,$G163&lt;=Targets!$C$8),"Yes","No"))</f>
        <v>Yes</v>
      </c>
      <c r="P163" s="66" t="str">
        <f aca="false">IF($A163="","",IF(AND($H163&lt;&gt;"",$H163&gt;=Targets!$C$7,$H163&lt;=Targets!$C$8),"Yes","No"))</f>
        <v>No</v>
      </c>
      <c r="Q163" s="66" t="str">
        <f aca="false">IF($A163="","",IF(AND($F163="Project",$E163&lt;&gt;"Closed",$E163&lt;&gt;"Dormant"),"Yes","No"))</f>
        <v>No</v>
      </c>
      <c r="R163" s="66" t="str">
        <f aca="false">IF($A163="","",IF(AND($L163="In-house",OR($E163="Intake",$E163="Active",$E163="Waiting")),"Yes","No"))</f>
        <v>No</v>
      </c>
      <c r="S163" s="66" t="str">
        <f aca="false">IF($A163="","",$C163&amp;" | "&amp;$D163)</f>
        <v>Contracts | Standing agreement tracked for renewal</v>
      </c>
      <c r="T163" s="66" t="str">
        <f aca="false">IF($A163="","",IF(AND($L163="Outside provider",OR($E163="Intake",$E163="Active",$E163="Waiting")),"Yes","No"))</f>
        <v>No</v>
      </c>
    </row>
    <row r="164" customFormat="false" ht="15" hidden="false" customHeight="true" outlineLevel="0" collapsed="false">
      <c r="A164" s="63" t="s">
        <v>274</v>
      </c>
      <c r="B164" s="63" t="s">
        <v>760</v>
      </c>
      <c r="C164" s="63" t="s">
        <v>459</v>
      </c>
      <c r="D164" s="63" t="s">
        <v>491</v>
      </c>
      <c r="E164" s="63" t="str">
        <f aca="false">IF($A164="","",IFERROR(INDEX('Status map'!$D$6:$D$64,MATCH($C164&amp;" | "&amp;$D164,'Status map'!$I$6:$I$64,0)),"Unmapped"))</f>
        <v>Active</v>
      </c>
      <c r="F164" s="63" t="s">
        <v>448</v>
      </c>
      <c r="G164" s="69" t="n">
        <v>46261</v>
      </c>
      <c r="H164" s="69"/>
      <c r="I164" s="69" t="n">
        <v>46221</v>
      </c>
      <c r="J164" s="63" t="s">
        <v>462</v>
      </c>
      <c r="K164" s="63" t="s">
        <v>474</v>
      </c>
      <c r="L164" s="63" t="s">
        <v>451</v>
      </c>
      <c r="M164" s="66" t="n">
        <f aca="false">IF(OR($A164="",$H164&lt;&gt;""),"",Targets!$C$8-$I164)</f>
        <v>44</v>
      </c>
      <c r="N164" s="66" t="str">
        <f aca="false">IF($A164="","",IF(AND($F164="Project",$E164="Active",$M164&lt;&gt;"",$M164&gt;Targets!$C$12),"Yes","No"))</f>
        <v>Yes</v>
      </c>
      <c r="O164" s="66" t="str">
        <f aca="false">IF($A164="","",IF(AND($G164&gt;=Targets!$C$7,$G164&lt;=Targets!$C$8),"Yes","No"))</f>
        <v>Yes</v>
      </c>
      <c r="P164" s="66" t="str">
        <f aca="false">IF($A164="","",IF(AND($H164&lt;&gt;"",$H164&gt;=Targets!$C$7,$H164&lt;=Targets!$C$8),"Yes","No"))</f>
        <v>No</v>
      </c>
      <c r="Q164" s="66" t="str">
        <f aca="false">IF($A164="","",IF(AND($F164="Project",$E164&lt;&gt;"Closed",$E164&lt;&gt;"Dormant"),"Yes","No"))</f>
        <v>Yes</v>
      </c>
      <c r="R164" s="66" t="str">
        <f aca="false">IF($A164="","",IF(AND($L164="In-house",OR($E164="Intake",$E164="Active",$E164="Waiting")),"Yes","No"))</f>
        <v>Yes</v>
      </c>
      <c r="S164" s="66" t="str">
        <f aca="false">IF($A164="","",$C164&amp;" | "&amp;$D164)</f>
        <v>Contracts | Drafting, review, or negotiation</v>
      </c>
      <c r="T164" s="66" t="str">
        <f aca="false">IF($A164="","",IF(AND($L164="Outside provider",OR($E164="Intake",$E164="Active",$E164="Waiting")),"Yes","No"))</f>
        <v>No</v>
      </c>
    </row>
    <row r="165" customFormat="false" ht="15" hidden="false" customHeight="true" outlineLevel="0" collapsed="false">
      <c r="A165" s="67" t="s">
        <v>761</v>
      </c>
      <c r="B165" s="67" t="s">
        <v>762</v>
      </c>
      <c r="C165" s="67" t="s">
        <v>501</v>
      </c>
      <c r="D165" s="67" t="s">
        <v>502</v>
      </c>
      <c r="E165" s="67" t="str">
        <f aca="false">IF($A165="","",IFERROR(INDEX('Status map'!$D$6:$D$64,MATCH($C165&amp;" | "&amp;$D165,'Status map'!$I$6:$I$64,0)),"Unmapped"))</f>
        <v>Closed</v>
      </c>
      <c r="F165" s="67" t="s">
        <v>448</v>
      </c>
      <c r="G165" s="70" t="n">
        <v>45863</v>
      </c>
      <c r="H165" s="70" t="n">
        <v>45897</v>
      </c>
      <c r="I165" s="70" t="n">
        <v>45897</v>
      </c>
      <c r="J165" s="67" t="s">
        <v>470</v>
      </c>
      <c r="K165" s="67" t="s">
        <v>449</v>
      </c>
      <c r="L165" s="67" t="s">
        <v>451</v>
      </c>
      <c r="M165" s="66" t="str">
        <f aca="false">IF(OR($A165="",$H165&lt;&gt;""),"",Targets!$C$8-$I165)</f>
        <v/>
      </c>
      <c r="N165" s="66" t="str">
        <f aca="false">IF($A165="","",IF(AND($F165="Project",$E165="Active",$M165&lt;&gt;"",$M165&gt;Targets!$C$12),"Yes","No"))</f>
        <v>No</v>
      </c>
      <c r="O165" s="66" t="str">
        <f aca="false">IF($A165="","",IF(AND($G165&gt;=Targets!$C$7,$G165&lt;=Targets!$C$8),"Yes","No"))</f>
        <v>No</v>
      </c>
      <c r="P165" s="66" t="str">
        <f aca="false">IF($A165="","",IF(AND($H165&lt;&gt;"",$H165&gt;=Targets!$C$7,$H165&lt;=Targets!$C$8),"Yes","No"))</f>
        <v>No</v>
      </c>
      <c r="Q165" s="66" t="str">
        <f aca="false">IF($A165="","",IF(AND($F165="Project",$E165&lt;&gt;"Closed",$E165&lt;&gt;"Dormant"),"Yes","No"))</f>
        <v>No</v>
      </c>
      <c r="R165" s="66" t="str">
        <f aca="false">IF($A165="","",IF(AND($L165="In-house",OR($E165="Intake",$E165="Active",$E165="Waiting")),"Yes","No"))</f>
        <v>No</v>
      </c>
      <c r="S165" s="66" t="str">
        <f aca="false">IF($A165="","",$C165&amp;" | "&amp;$D165)</f>
        <v>M&amp;A and corporate deals | Deal closed</v>
      </c>
      <c r="T165" s="66" t="str">
        <f aca="false">IF($A165="","",IF(AND($L165="Outside provider",OR($E165="Intake",$E165="Active",$E165="Waiting")),"Yes","No"))</f>
        <v>No</v>
      </c>
    </row>
    <row r="166" customFormat="false" ht="15" hidden="false" customHeight="true" outlineLevel="0" collapsed="false">
      <c r="A166" s="63" t="s">
        <v>343</v>
      </c>
      <c r="B166" s="63" t="s">
        <v>484</v>
      </c>
      <c r="C166" s="63" t="s">
        <v>454</v>
      </c>
      <c r="D166" s="63" t="s">
        <v>514</v>
      </c>
      <c r="E166" s="63" t="str">
        <f aca="false">IF($A166="","",IFERROR(INDEX('Status map'!$D$6:$D$64,MATCH($C166&amp;" | "&amp;$D166,'Status map'!$I$6:$I$64,0)),"Unmapped"))</f>
        <v>Active</v>
      </c>
      <c r="F166" s="63" t="s">
        <v>448</v>
      </c>
      <c r="G166" s="69" t="n">
        <v>46253</v>
      </c>
      <c r="H166" s="69"/>
      <c r="I166" s="69" t="n">
        <v>46249</v>
      </c>
      <c r="J166" s="63" t="s">
        <v>450</v>
      </c>
      <c r="K166" s="63" t="s">
        <v>474</v>
      </c>
      <c r="L166" s="63" t="s">
        <v>451</v>
      </c>
      <c r="M166" s="66" t="n">
        <f aca="false">IF(OR($A166="",$H166&lt;&gt;""),"",Targets!$C$8-$I166)</f>
        <v>16</v>
      </c>
      <c r="N166" s="66" t="str">
        <f aca="false">IF($A166="","",IF(AND($F166="Project",$E166="Active",$M166&lt;&gt;"",$M166&gt;Targets!$C$12),"Yes","No"))</f>
        <v>No</v>
      </c>
      <c r="O166" s="66" t="str">
        <f aca="false">IF($A166="","",IF(AND($G166&gt;=Targets!$C$7,$G166&lt;=Targets!$C$8),"Yes","No"))</f>
        <v>Yes</v>
      </c>
      <c r="P166" s="66" t="str">
        <f aca="false">IF($A166="","",IF(AND($H166&lt;&gt;"",$H166&gt;=Targets!$C$7,$H166&lt;=Targets!$C$8),"Yes","No"))</f>
        <v>No</v>
      </c>
      <c r="Q166" s="66" t="str">
        <f aca="false">IF($A166="","",IF(AND($F166="Project",$E166&lt;&gt;"Closed",$E166&lt;&gt;"Dormant"),"Yes","No"))</f>
        <v>Yes</v>
      </c>
      <c r="R166" s="66" t="str">
        <f aca="false">IF($A166="","",IF(AND($L166="In-house",OR($E166="Intake",$E166="Active",$E166="Waiting")),"Yes","No"))</f>
        <v>Yes</v>
      </c>
      <c r="S166" s="66" t="str">
        <f aca="false">IF($A166="","",$C166&amp;" | "&amp;$D166)</f>
        <v>Litigation | Active discovery, motions, or trial prep</v>
      </c>
      <c r="T166" s="66" t="str">
        <f aca="false">IF($A166="","",IF(AND($L166="Outside provider",OR($E166="Intake",$E166="Active",$E166="Waiting")),"Yes","No"))</f>
        <v>No</v>
      </c>
    </row>
    <row r="167" customFormat="false" ht="15" hidden="false" customHeight="true" outlineLevel="0" collapsed="false">
      <c r="A167" s="67" t="s">
        <v>763</v>
      </c>
      <c r="B167" s="67" t="s">
        <v>511</v>
      </c>
      <c r="C167" s="67" t="s">
        <v>446</v>
      </c>
      <c r="D167" s="67" t="s">
        <v>473</v>
      </c>
      <c r="E167" s="67" t="str">
        <f aca="false">IF($A167="","",IFERROR(INDEX('Status map'!$D$6:$D$64,MATCH($C167&amp;" | "&amp;$D167,'Status map'!$I$6:$I$64,0)),"Unmapped"))</f>
        <v>Closed</v>
      </c>
      <c r="F167" s="67" t="s">
        <v>482</v>
      </c>
      <c r="G167" s="70" t="n">
        <v>45923</v>
      </c>
      <c r="H167" s="70" t="n">
        <v>45989</v>
      </c>
      <c r="I167" s="70" t="n">
        <v>45989</v>
      </c>
      <c r="J167" s="67" t="s">
        <v>449</v>
      </c>
      <c r="K167" s="67" t="s">
        <v>474</v>
      </c>
      <c r="L167" s="67" t="s">
        <v>451</v>
      </c>
      <c r="M167" s="66" t="str">
        <f aca="false">IF(OR($A167="",$H167&lt;&gt;""),"",Targets!$C$8-$I167)</f>
        <v/>
      </c>
      <c r="N167" s="66" t="str">
        <f aca="false">IF($A167="","",IF(AND($F167="Project",$E167="Active",$M167&lt;&gt;"",$M167&gt;Targets!$C$12),"Yes","No"))</f>
        <v>No</v>
      </c>
      <c r="O167" s="66" t="str">
        <f aca="false">IF($A167="","",IF(AND($G167&gt;=Targets!$C$7,$G167&lt;=Targets!$C$8),"Yes","No"))</f>
        <v>No</v>
      </c>
      <c r="P167" s="66" t="str">
        <f aca="false">IF($A167="","",IF(AND($H167&lt;&gt;"",$H167&gt;=Targets!$C$7,$H167&lt;=Targets!$C$8),"Yes","No"))</f>
        <v>No</v>
      </c>
      <c r="Q167" s="66" t="str">
        <f aca="false">IF($A167="","",IF(AND($F167="Project",$E167&lt;&gt;"Closed",$E167&lt;&gt;"Dormant"),"Yes","No"))</f>
        <v>No</v>
      </c>
      <c r="R167" s="66" t="str">
        <f aca="false">IF($A167="","",IF(AND($L167="In-house",OR($E167="Intake",$E167="Active",$E167="Waiting")),"Yes","No"))</f>
        <v>No</v>
      </c>
      <c r="S167" s="66" t="str">
        <f aca="false">IF($A167="","",$C167&amp;" | "&amp;$D167)</f>
        <v>Employment | Resolved or closed</v>
      </c>
      <c r="T167" s="66" t="str">
        <f aca="false">IF($A167="","",IF(AND($L167="Outside provider",OR($E167="Intake",$E167="Active",$E167="Waiting")),"Yes","No"))</f>
        <v>No</v>
      </c>
    </row>
    <row r="168" customFormat="false" ht="15" hidden="false" customHeight="true" outlineLevel="0" collapsed="false">
      <c r="A168" s="63" t="s">
        <v>764</v>
      </c>
      <c r="B168" s="63" t="s">
        <v>765</v>
      </c>
      <c r="C168" s="63" t="s">
        <v>459</v>
      </c>
      <c r="D168" s="63" t="s">
        <v>478</v>
      </c>
      <c r="E168" s="63" t="str">
        <f aca="false">IF($A168="","",IFERROR(INDEX('Status map'!$D$6:$D$64,MATCH($C168&amp;" | "&amp;$D168,'Status map'!$I$6:$I$64,0)),"Unmapped"))</f>
        <v>Closed</v>
      </c>
      <c r="F168" s="63" t="s">
        <v>482</v>
      </c>
      <c r="G168" s="69" t="n">
        <v>46003</v>
      </c>
      <c r="H168" s="69" t="n">
        <v>46259</v>
      </c>
      <c r="I168" s="69" t="n">
        <v>46259</v>
      </c>
      <c r="J168" s="63" t="s">
        <v>456</v>
      </c>
      <c r="K168" s="63" t="s">
        <v>449</v>
      </c>
      <c r="L168" s="63" t="s">
        <v>451</v>
      </c>
      <c r="M168" s="66" t="str">
        <f aca="false">IF(OR($A168="",$H168&lt;&gt;""),"",Targets!$C$8-$I168)</f>
        <v/>
      </c>
      <c r="N168" s="66" t="str">
        <f aca="false">IF($A168="","",IF(AND($F168="Project",$E168="Active",$M168&lt;&gt;"",$M168&gt;Targets!$C$12),"Yes","No"))</f>
        <v>No</v>
      </c>
      <c r="O168" s="66" t="str">
        <f aca="false">IF($A168="","",IF(AND($G168&gt;=Targets!$C$7,$G168&lt;=Targets!$C$8),"Yes","No"))</f>
        <v>No</v>
      </c>
      <c r="P168" s="66" t="str">
        <f aca="false">IF($A168="","",IF(AND($H168&lt;&gt;"",$H168&gt;=Targets!$C$7,$H168&lt;=Targets!$C$8),"Yes","No"))</f>
        <v>Yes</v>
      </c>
      <c r="Q168" s="66" t="str">
        <f aca="false">IF($A168="","",IF(AND($F168="Project",$E168&lt;&gt;"Closed",$E168&lt;&gt;"Dormant"),"Yes","No"))</f>
        <v>No</v>
      </c>
      <c r="R168" s="66" t="str">
        <f aca="false">IF($A168="","",IF(AND($L168="In-house",OR($E168="Intake",$E168="Active",$E168="Waiting")),"Yes","No"))</f>
        <v>No</v>
      </c>
      <c r="S168" s="66" t="str">
        <f aca="false">IF($A168="","",$C168&amp;" | "&amp;$D168)</f>
        <v>Contracts | Executed</v>
      </c>
      <c r="T168" s="66" t="str">
        <f aca="false">IF($A168="","",IF(AND($L168="Outside provider",OR($E168="Intake",$E168="Active",$E168="Waiting")),"Yes","No"))</f>
        <v>No</v>
      </c>
    </row>
    <row r="169" customFormat="false" ht="15" hidden="false" customHeight="true" outlineLevel="0" collapsed="false">
      <c r="A169" s="67" t="s">
        <v>766</v>
      </c>
      <c r="B169" s="67" t="s">
        <v>767</v>
      </c>
      <c r="C169" s="67" t="s">
        <v>487</v>
      </c>
      <c r="D169" s="67" t="s">
        <v>636</v>
      </c>
      <c r="E169" s="67" t="str">
        <f aca="false">IF($A169="","",IFERROR(INDEX('Status map'!$D$6:$D$64,MATCH($C169&amp;" | "&amp;$D169,'Status map'!$I$6:$I$64,0)),"Unmapped"))</f>
        <v>Active</v>
      </c>
      <c r="F169" s="67" t="s">
        <v>482</v>
      </c>
      <c r="G169" s="70" t="n">
        <v>46177</v>
      </c>
      <c r="H169" s="70"/>
      <c r="I169" s="70" t="n">
        <v>46253</v>
      </c>
      <c r="J169" s="67" t="s">
        <v>492</v>
      </c>
      <c r="K169" s="67" t="s">
        <v>456</v>
      </c>
      <c r="L169" s="67" t="s">
        <v>451</v>
      </c>
      <c r="M169" s="66" t="n">
        <f aca="false">IF(OR($A169="",$H169&lt;&gt;""),"",Targets!$C$8-$I169)</f>
        <v>12</v>
      </c>
      <c r="N169" s="66" t="str">
        <f aca="false">IF($A169="","",IF(AND($F169="Project",$E169="Active",$M169&lt;&gt;"",$M169&gt;Targets!$C$12),"Yes","No"))</f>
        <v>No</v>
      </c>
      <c r="O169" s="66" t="str">
        <f aca="false">IF($A169="","",IF(AND($G169&gt;=Targets!$C$7,$G169&lt;=Targets!$C$8),"Yes","No"))</f>
        <v>No</v>
      </c>
      <c r="P169" s="66" t="str">
        <f aca="false">IF($A169="","",IF(AND($H169&lt;&gt;"",$H169&gt;=Targets!$C$7,$H169&lt;=Targets!$C$8),"Yes","No"))</f>
        <v>No</v>
      </c>
      <c r="Q169" s="66" t="str">
        <f aca="false">IF($A169="","",IF(AND($F169="Project",$E169&lt;&gt;"Closed",$E169&lt;&gt;"Dormant"),"Yes","No"))</f>
        <v>No</v>
      </c>
      <c r="R169" s="66" t="str">
        <f aca="false">IF($A169="","",IF(AND($L169="In-house",OR($E169="Intake",$E169="Active",$E169="Waiting")),"Yes","No"))</f>
        <v>Yes</v>
      </c>
      <c r="S169" s="66" t="str">
        <f aca="false">IF($A169="","",$C169&amp;" | "&amp;$D169)</f>
        <v>Corporate and entity management | Formation, change, or dissolution in progress</v>
      </c>
      <c r="T169" s="66" t="str">
        <f aca="false">IF($A169="","",IF(AND($L169="Outside provider",OR($E169="Intake",$E169="Active",$E169="Waiting")),"Yes","No"))</f>
        <v>No</v>
      </c>
    </row>
    <row r="170" customFormat="false" ht="15" hidden="false" customHeight="true" outlineLevel="0" collapsed="false">
      <c r="A170" s="63" t="s">
        <v>768</v>
      </c>
      <c r="B170" s="63" t="s">
        <v>727</v>
      </c>
      <c r="C170" s="63" t="s">
        <v>501</v>
      </c>
      <c r="D170" s="63" t="s">
        <v>683</v>
      </c>
      <c r="E170" s="63" t="str">
        <f aca="false">IF($A170="","",IFERROR(INDEX('Status map'!$D$6:$D$64,MATCH($C170&amp;" | "&amp;$D170,'Status map'!$I$6:$I$64,0)),"Unmapped"))</f>
        <v>Active</v>
      </c>
      <c r="F170" s="63" t="s">
        <v>510</v>
      </c>
      <c r="G170" s="69" t="n">
        <v>45664</v>
      </c>
      <c r="H170" s="69"/>
      <c r="I170" s="69" t="n">
        <v>46227</v>
      </c>
      <c r="J170" s="63" t="s">
        <v>492</v>
      </c>
      <c r="K170" s="63" t="s">
        <v>450</v>
      </c>
      <c r="L170" s="63" t="s">
        <v>451</v>
      </c>
      <c r="M170" s="66" t="n">
        <f aca="false">IF(OR($A170="",$H170&lt;&gt;""),"",Targets!$C$8-$I170)</f>
        <v>38</v>
      </c>
      <c r="N170" s="66" t="str">
        <f aca="false">IF($A170="","",IF(AND($F170="Project",$E170="Active",$M170&lt;&gt;"",$M170&gt;Targets!$C$12),"Yes","No"))</f>
        <v>No</v>
      </c>
      <c r="O170" s="66" t="str">
        <f aca="false">IF($A170="","",IF(AND($G170&gt;=Targets!$C$7,$G170&lt;=Targets!$C$8),"Yes","No"))</f>
        <v>No</v>
      </c>
      <c r="P170" s="66" t="str">
        <f aca="false">IF($A170="","",IF(AND($H170&lt;&gt;"",$H170&gt;=Targets!$C$7,$H170&lt;=Targets!$C$8),"Yes","No"))</f>
        <v>No</v>
      </c>
      <c r="Q170" s="66" t="str">
        <f aca="false">IF($A170="","",IF(AND($F170="Project",$E170&lt;&gt;"Closed",$E170&lt;&gt;"Dormant"),"Yes","No"))</f>
        <v>No</v>
      </c>
      <c r="R170" s="66" t="str">
        <f aca="false">IF($A170="","",IF(AND($L170="In-house",OR($E170="Intake",$E170="Active",$E170="Waiting")),"Yes","No"))</f>
        <v>Yes</v>
      </c>
      <c r="S170" s="66" t="str">
        <f aca="false">IF($A170="","",$C170&amp;" | "&amp;$D170)</f>
        <v>M&amp;A and corporate deals | Due diligence and negotiation underway</v>
      </c>
      <c r="T170" s="66" t="str">
        <f aca="false">IF($A170="","",IF(AND($L170="Outside provider",OR($E170="Intake",$E170="Active",$E170="Waiting")),"Yes","No"))</f>
        <v>No</v>
      </c>
    </row>
    <row r="171" customFormat="false" ht="15" hidden="false" customHeight="true" outlineLevel="0" collapsed="false">
      <c r="A171" s="67" t="s">
        <v>769</v>
      </c>
      <c r="B171" s="67" t="s">
        <v>646</v>
      </c>
      <c r="C171" s="67" t="s">
        <v>647</v>
      </c>
      <c r="D171" s="67" t="s">
        <v>648</v>
      </c>
      <c r="E171" s="67" t="str">
        <f aca="false">IF($A171="","",IFERROR(INDEX('Status map'!$D$6:$D$64,MATCH($C171&amp;" | "&amp;$D171,'Status map'!$I$6:$I$64,0)),"Unmapped"))</f>
        <v>Dormant</v>
      </c>
      <c r="F171" s="67" t="s">
        <v>510</v>
      </c>
      <c r="G171" s="70" t="n">
        <v>44296</v>
      </c>
      <c r="H171" s="70"/>
      <c r="I171" s="70" t="n">
        <v>46053</v>
      </c>
      <c r="J171" s="67" t="s">
        <v>470</v>
      </c>
      <c r="K171" s="67" t="s">
        <v>474</v>
      </c>
      <c r="L171" s="67" t="s">
        <v>451</v>
      </c>
      <c r="M171" s="66" t="n">
        <f aca="false">IF(OR($A171="",$H171&lt;&gt;""),"",Targets!$C$8-$I171)</f>
        <v>212</v>
      </c>
      <c r="N171" s="66" t="str">
        <f aca="false">IF($A171="","",IF(AND($F171="Project",$E171="Active",$M171&lt;&gt;"",$M171&gt;Targets!$C$12),"Yes","No"))</f>
        <v>No</v>
      </c>
      <c r="O171" s="66" t="str">
        <f aca="false">IF($A171="","",IF(AND($G171&gt;=Targets!$C$7,$G171&lt;=Targets!$C$8),"Yes","No"))</f>
        <v>No</v>
      </c>
      <c r="P171" s="66" t="str">
        <f aca="false">IF($A171="","",IF(AND($H171&lt;&gt;"",$H171&gt;=Targets!$C$7,$H171&lt;=Targets!$C$8),"Yes","No"))</f>
        <v>No</v>
      </c>
      <c r="Q171" s="66" t="str">
        <f aca="false">IF($A171="","",IF(AND($F171="Project",$E171&lt;&gt;"Closed",$E171&lt;&gt;"Dormant"),"Yes","No"))</f>
        <v>No</v>
      </c>
      <c r="R171" s="66" t="str">
        <f aca="false">IF($A171="","",IF(AND($L171="In-house",OR($E171="Intake",$E171="Active",$E171="Waiting")),"Yes","No"))</f>
        <v>No</v>
      </c>
      <c r="S171" s="66" t="str">
        <f aca="false">IF($A171="","",$C171&amp;" | "&amp;$D171)</f>
        <v>IP: patents and trademarks | Issued or registered, in maintenance</v>
      </c>
      <c r="T171" s="66" t="str">
        <f aca="false">IF($A171="","",IF(AND($L171="Outside provider",OR($E171="Intake",$E171="Active",$E171="Waiting")),"Yes","No"))</f>
        <v>No</v>
      </c>
    </row>
    <row r="172" customFormat="false" ht="15" hidden="false" customHeight="true" outlineLevel="0" collapsed="false">
      <c r="A172" s="63" t="s">
        <v>770</v>
      </c>
      <c r="B172" s="63" t="s">
        <v>771</v>
      </c>
      <c r="C172" s="63" t="s">
        <v>446</v>
      </c>
      <c r="D172" s="63" t="s">
        <v>473</v>
      </c>
      <c r="E172" s="63" t="str">
        <f aca="false">IF($A172="","",IFERROR(INDEX('Status map'!$D$6:$D$64,MATCH($C172&amp;" | "&amp;$D172,'Status map'!$I$6:$I$64,0)),"Unmapped"))</f>
        <v>Closed</v>
      </c>
      <c r="F172" s="63" t="s">
        <v>448</v>
      </c>
      <c r="G172" s="69" t="n">
        <v>46126</v>
      </c>
      <c r="H172" s="69" t="n">
        <v>46239</v>
      </c>
      <c r="I172" s="69" t="n">
        <v>46239</v>
      </c>
      <c r="J172" s="63" t="s">
        <v>449</v>
      </c>
      <c r="K172" s="63" t="s">
        <v>461</v>
      </c>
      <c r="L172" s="63" t="s">
        <v>451</v>
      </c>
      <c r="M172" s="66" t="str">
        <f aca="false">IF(OR($A172="",$H172&lt;&gt;""),"",Targets!$C$8-$I172)</f>
        <v/>
      </c>
      <c r="N172" s="66" t="str">
        <f aca="false">IF($A172="","",IF(AND($F172="Project",$E172="Active",$M172&lt;&gt;"",$M172&gt;Targets!$C$12),"Yes","No"))</f>
        <v>No</v>
      </c>
      <c r="O172" s="66" t="str">
        <f aca="false">IF($A172="","",IF(AND($G172&gt;=Targets!$C$7,$G172&lt;=Targets!$C$8),"Yes","No"))</f>
        <v>No</v>
      </c>
      <c r="P172" s="66" t="str">
        <f aca="false">IF($A172="","",IF(AND($H172&lt;&gt;"",$H172&gt;=Targets!$C$7,$H172&lt;=Targets!$C$8),"Yes","No"))</f>
        <v>Yes</v>
      </c>
      <c r="Q172" s="66" t="str">
        <f aca="false">IF($A172="","",IF(AND($F172="Project",$E172&lt;&gt;"Closed",$E172&lt;&gt;"Dormant"),"Yes","No"))</f>
        <v>No</v>
      </c>
      <c r="R172" s="66" t="str">
        <f aca="false">IF($A172="","",IF(AND($L172="In-house",OR($E172="Intake",$E172="Active",$E172="Waiting")),"Yes","No"))</f>
        <v>No</v>
      </c>
      <c r="S172" s="66" t="str">
        <f aca="false">IF($A172="","",$C172&amp;" | "&amp;$D172)</f>
        <v>Employment | Resolved or closed</v>
      </c>
      <c r="T172" s="66" t="str">
        <f aca="false">IF($A172="","",IF(AND($L172="Outside provider",OR($E172="Intake",$E172="Active",$E172="Waiting")),"Yes","No"))</f>
        <v>No</v>
      </c>
    </row>
    <row r="173" customFormat="false" ht="15" hidden="false" customHeight="true" outlineLevel="0" collapsed="false">
      <c r="A173" s="67" t="s">
        <v>772</v>
      </c>
      <c r="B173" s="67" t="s">
        <v>693</v>
      </c>
      <c r="C173" s="67" t="s">
        <v>446</v>
      </c>
      <c r="D173" s="67" t="s">
        <v>545</v>
      </c>
      <c r="E173" s="67" t="str">
        <f aca="false">IF($A173="","",IFERROR(INDEX('Status map'!$D$6:$D$64,MATCH($C173&amp;" | "&amp;$D173,'Status map'!$I$6:$I$64,0)),"Unmapped"))</f>
        <v>Active</v>
      </c>
      <c r="F173" s="67" t="s">
        <v>482</v>
      </c>
      <c r="G173" s="70" t="n">
        <v>46087</v>
      </c>
      <c r="H173" s="70"/>
      <c r="I173" s="70" t="n">
        <v>46258</v>
      </c>
      <c r="J173" s="67" t="s">
        <v>449</v>
      </c>
      <c r="K173" s="67" t="s">
        <v>456</v>
      </c>
      <c r="L173" s="67" t="s">
        <v>451</v>
      </c>
      <c r="M173" s="66" t="n">
        <f aca="false">IF(OR($A173="",$H173&lt;&gt;""),"",Targets!$C$8-$I173)</f>
        <v>7</v>
      </c>
      <c r="N173" s="66" t="str">
        <f aca="false">IF($A173="","",IF(AND($F173="Project",$E173="Active",$M173&lt;&gt;"",$M173&gt;Targets!$C$12),"Yes","No"))</f>
        <v>No</v>
      </c>
      <c r="O173" s="66" t="str">
        <f aca="false">IF($A173="","",IF(AND($G173&gt;=Targets!$C$7,$G173&lt;=Targets!$C$8),"Yes","No"))</f>
        <v>No</v>
      </c>
      <c r="P173" s="66" t="str">
        <f aca="false">IF($A173="","",IF(AND($H173&lt;&gt;"",$H173&gt;=Targets!$C$7,$H173&lt;=Targets!$C$8),"Yes","No"))</f>
        <v>No</v>
      </c>
      <c r="Q173" s="66" t="str">
        <f aca="false">IF($A173="","",IF(AND($F173="Project",$E173&lt;&gt;"Closed",$E173&lt;&gt;"Dormant"),"Yes","No"))</f>
        <v>No</v>
      </c>
      <c r="R173" s="66" t="str">
        <f aca="false">IF($A173="","",IF(AND($L173="In-house",OR($E173="Intake",$E173="Active",$E173="Waiting")),"Yes","No"))</f>
        <v>Yes</v>
      </c>
      <c r="S173" s="66" t="str">
        <f aca="false">IF($A173="","",$C173&amp;" | "&amp;$D173)</f>
        <v>Employment | Investigation underway</v>
      </c>
      <c r="T173" s="66" t="str">
        <f aca="false">IF($A173="","",IF(AND($L173="Outside provider",OR($E173="Intake",$E173="Active",$E173="Waiting")),"Yes","No"))</f>
        <v>No</v>
      </c>
    </row>
    <row r="174" customFormat="false" ht="15" hidden="false" customHeight="true" outlineLevel="0" collapsed="false">
      <c r="A174" s="63" t="s">
        <v>773</v>
      </c>
      <c r="B174" s="63" t="s">
        <v>494</v>
      </c>
      <c r="C174" s="63" t="s">
        <v>465</v>
      </c>
      <c r="D174" s="63" t="s">
        <v>466</v>
      </c>
      <c r="E174" s="63" t="str">
        <f aca="false">IF($A174="","",IFERROR(INDEX('Status map'!$D$6:$D$64,MATCH($C174&amp;" | "&amp;$D174,'Status map'!$I$6:$I$64,0)),"Unmapped"))</f>
        <v>Closed</v>
      </c>
      <c r="F174" s="63" t="s">
        <v>448</v>
      </c>
      <c r="G174" s="69" t="n">
        <v>46130</v>
      </c>
      <c r="H174" s="69" t="n">
        <v>46261</v>
      </c>
      <c r="I174" s="69" t="n">
        <v>46261</v>
      </c>
      <c r="J174" s="63" t="s">
        <v>470</v>
      </c>
      <c r="K174" s="63" t="s">
        <v>450</v>
      </c>
      <c r="L174" s="63" t="s">
        <v>451</v>
      </c>
      <c r="M174" s="66" t="str">
        <f aca="false">IF(OR($A174="",$H174&lt;&gt;""),"",Targets!$C$8-$I174)</f>
        <v/>
      </c>
      <c r="N174" s="66" t="str">
        <f aca="false">IF($A174="","",IF(AND($F174="Project",$E174="Active",$M174&lt;&gt;"",$M174&gt;Targets!$C$12),"Yes","No"))</f>
        <v>No</v>
      </c>
      <c r="O174" s="66" t="str">
        <f aca="false">IF($A174="","",IF(AND($G174&gt;=Targets!$C$7,$G174&lt;=Targets!$C$8),"Yes","No"))</f>
        <v>No</v>
      </c>
      <c r="P174" s="66" t="str">
        <f aca="false">IF($A174="","",IF(AND($H174&lt;&gt;"",$H174&gt;=Targets!$C$7,$H174&lt;=Targets!$C$8),"Yes","No"))</f>
        <v>Yes</v>
      </c>
      <c r="Q174" s="66" t="str">
        <f aca="false">IF($A174="","",IF(AND($F174="Project",$E174&lt;&gt;"Closed",$E174&lt;&gt;"Dormant"),"Yes","No"))</f>
        <v>No</v>
      </c>
      <c r="R174" s="66" t="str">
        <f aca="false">IF($A174="","",IF(AND($L174="In-house",OR($E174="Intake",$E174="Active",$E174="Waiting")),"Yes","No"))</f>
        <v>No</v>
      </c>
      <c r="S174" s="66" t="str">
        <f aca="false">IF($A174="","",$C174&amp;" | "&amp;$D174)</f>
        <v>Immigration and visas | Denied or withdrawn</v>
      </c>
      <c r="T174" s="66" t="str">
        <f aca="false">IF($A174="","",IF(AND($L174="Outside provider",OR($E174="Intake",$E174="Active",$E174="Waiting")),"Yes","No"))</f>
        <v>No</v>
      </c>
    </row>
    <row r="175" customFormat="false" ht="15" hidden="false" customHeight="true" outlineLevel="0" collapsed="false">
      <c r="A175" s="67" t="s">
        <v>774</v>
      </c>
      <c r="B175" s="67" t="s">
        <v>775</v>
      </c>
      <c r="C175" s="67" t="s">
        <v>454</v>
      </c>
      <c r="D175" s="67" t="s">
        <v>455</v>
      </c>
      <c r="E175" s="67" t="str">
        <f aca="false">IF($A175="","",IFERROR(INDEX('Status map'!$D$6:$D$64,MATCH($C175&amp;" | "&amp;$D175,'Status map'!$I$6:$I$64,0)),"Unmapped"))</f>
        <v>Closed</v>
      </c>
      <c r="F175" s="67" t="s">
        <v>448</v>
      </c>
      <c r="G175" s="70" t="n">
        <v>46017</v>
      </c>
      <c r="H175" s="70" t="n">
        <v>46247</v>
      </c>
      <c r="I175" s="70" t="n">
        <v>46247</v>
      </c>
      <c r="J175" s="67" t="s">
        <v>449</v>
      </c>
      <c r="K175" s="67" t="s">
        <v>449</v>
      </c>
      <c r="L175" s="67" t="s">
        <v>451</v>
      </c>
      <c r="M175" s="66" t="str">
        <f aca="false">IF(OR($A175="",$H175&lt;&gt;""),"",Targets!$C$8-$I175)</f>
        <v/>
      </c>
      <c r="N175" s="66" t="str">
        <f aca="false">IF($A175="","",IF(AND($F175="Project",$E175="Active",$M175&lt;&gt;"",$M175&gt;Targets!$C$12),"Yes","No"))</f>
        <v>No</v>
      </c>
      <c r="O175" s="66" t="str">
        <f aca="false">IF($A175="","",IF(AND($G175&gt;=Targets!$C$7,$G175&lt;=Targets!$C$8),"Yes","No"))</f>
        <v>No</v>
      </c>
      <c r="P175" s="66" t="str">
        <f aca="false">IF($A175="","",IF(AND($H175&lt;&gt;"",$H175&gt;=Targets!$C$7,$H175&lt;=Targets!$C$8),"Yes","No"))</f>
        <v>Yes</v>
      </c>
      <c r="Q175" s="66" t="str">
        <f aca="false">IF($A175="","",IF(AND($F175="Project",$E175&lt;&gt;"Closed",$E175&lt;&gt;"Dormant"),"Yes","No"))</f>
        <v>No</v>
      </c>
      <c r="R175" s="66" t="str">
        <f aca="false">IF($A175="","",IF(AND($L175="In-house",OR($E175="Intake",$E175="Active",$E175="Waiting")),"Yes","No"))</f>
        <v>No</v>
      </c>
      <c r="S175" s="66" t="str">
        <f aca="false">IF($A175="","",$C175&amp;" | "&amp;$D175)</f>
        <v>Litigation | Settled, dismissed, or judgment entered</v>
      </c>
      <c r="T175" s="66" t="str">
        <f aca="false">IF($A175="","",IF(AND($L175="Outside provider",OR($E175="Intake",$E175="Active",$E175="Waiting")),"Yes","No"))</f>
        <v>No</v>
      </c>
    </row>
    <row r="176" customFormat="false" ht="15" hidden="false" customHeight="true" outlineLevel="0" collapsed="false">
      <c r="A176" s="63" t="s">
        <v>776</v>
      </c>
      <c r="B176" s="63" t="s">
        <v>777</v>
      </c>
      <c r="C176" s="63" t="s">
        <v>465</v>
      </c>
      <c r="D176" s="63" t="s">
        <v>509</v>
      </c>
      <c r="E176" s="63" t="str">
        <f aca="false">IF($A176="","",IFERROR(INDEX('Status map'!$D$6:$D$64,MATCH($C176&amp;" | "&amp;$D176,'Status map'!$I$6:$I$64,0)),"Unmapped"))</f>
        <v>Dormant</v>
      </c>
      <c r="F176" s="63" t="s">
        <v>510</v>
      </c>
      <c r="G176" s="69" t="n">
        <v>46035</v>
      </c>
      <c r="H176" s="69"/>
      <c r="I176" s="69" t="n">
        <v>46045</v>
      </c>
      <c r="J176" s="63" t="s">
        <v>449</v>
      </c>
      <c r="K176" s="63" t="s">
        <v>456</v>
      </c>
      <c r="L176" s="63" t="s">
        <v>451</v>
      </c>
      <c r="M176" s="66" t="n">
        <f aca="false">IF(OR($A176="",$H176&lt;&gt;""),"",Targets!$C$8-$I176)</f>
        <v>220</v>
      </c>
      <c r="N176" s="66" t="str">
        <f aca="false">IF($A176="","",IF(AND($F176="Project",$E176="Active",$M176&lt;&gt;"",$M176&gt;Targets!$C$12),"Yes","No"))</f>
        <v>No</v>
      </c>
      <c r="O176" s="66" t="str">
        <f aca="false">IF($A176="","",IF(AND($G176&gt;=Targets!$C$7,$G176&lt;=Targets!$C$8),"Yes","No"))</f>
        <v>No</v>
      </c>
      <c r="P176" s="66" t="str">
        <f aca="false">IF($A176="","",IF(AND($H176&lt;&gt;"",$H176&gt;=Targets!$C$7,$H176&lt;=Targets!$C$8),"Yes","No"))</f>
        <v>No</v>
      </c>
      <c r="Q176" s="66" t="str">
        <f aca="false">IF($A176="","",IF(AND($F176="Project",$E176&lt;&gt;"Closed",$E176&lt;&gt;"Dormant"),"Yes","No"))</f>
        <v>No</v>
      </c>
      <c r="R176" s="66" t="str">
        <f aca="false">IF($A176="","",IF(AND($L176="In-house",OR($E176="Intake",$E176="Active",$E176="Waiting")),"Yes","No"))</f>
        <v>No</v>
      </c>
      <c r="S176" s="66" t="str">
        <f aca="false">IF($A176="","",$C176&amp;" | "&amp;$D176)</f>
        <v>Immigration and visas | Approved, renewal window tracked</v>
      </c>
      <c r="T176" s="66" t="str">
        <f aca="false">IF($A176="","",IF(AND($L176="Outside provider",OR($E176="Intake",$E176="Active",$E176="Waiting")),"Yes","No"))</f>
        <v>No</v>
      </c>
    </row>
    <row r="177" customFormat="false" ht="15" hidden="false" customHeight="true" outlineLevel="0" collapsed="false">
      <c r="A177" s="67" t="s">
        <v>778</v>
      </c>
      <c r="B177" s="67" t="s">
        <v>505</v>
      </c>
      <c r="C177" s="67" t="s">
        <v>465</v>
      </c>
      <c r="D177" s="67" t="s">
        <v>586</v>
      </c>
      <c r="E177" s="67" t="str">
        <f aca="false">IF($A177="","",IFERROR(INDEX('Status map'!$D$6:$D$64,MATCH($C177&amp;" | "&amp;$D177,'Status map'!$I$6:$I$64,0)),"Unmapped"))</f>
        <v>Waiting</v>
      </c>
      <c r="F177" s="67" t="s">
        <v>448</v>
      </c>
      <c r="G177" s="70" t="n">
        <v>45968</v>
      </c>
      <c r="H177" s="70"/>
      <c r="I177" s="70" t="n">
        <v>46262</v>
      </c>
      <c r="J177" s="67" t="s">
        <v>470</v>
      </c>
      <c r="K177" s="67" t="s">
        <v>462</v>
      </c>
      <c r="L177" s="67" t="s">
        <v>451</v>
      </c>
      <c r="M177" s="66" t="n">
        <f aca="false">IF(OR($A177="",$H177&lt;&gt;""),"",Targets!$C$8-$I177)</f>
        <v>3</v>
      </c>
      <c r="N177" s="66" t="str">
        <f aca="false">IF($A177="","",IF(AND($F177="Project",$E177="Active",$M177&lt;&gt;"",$M177&gt;Targets!$C$12),"Yes","No"))</f>
        <v>No</v>
      </c>
      <c r="O177" s="66" t="str">
        <f aca="false">IF($A177="","",IF(AND($G177&gt;=Targets!$C$7,$G177&lt;=Targets!$C$8),"Yes","No"))</f>
        <v>No</v>
      </c>
      <c r="P177" s="66" t="str">
        <f aca="false">IF($A177="","",IF(AND($H177&lt;&gt;"",$H177&gt;=Targets!$C$7,$H177&lt;=Targets!$C$8),"Yes","No"))</f>
        <v>No</v>
      </c>
      <c r="Q177" s="66" t="str">
        <f aca="false">IF($A177="","",IF(AND($F177="Project",$E177&lt;&gt;"Closed",$E177&lt;&gt;"Dormant"),"Yes","No"))</f>
        <v>Yes</v>
      </c>
      <c r="R177" s="66" t="str">
        <f aca="false">IF($A177="","",IF(AND($L177="In-house",OR($E177="Intake",$E177="Active",$E177="Waiting")),"Yes","No"))</f>
        <v>Yes</v>
      </c>
      <c r="S177" s="66" t="str">
        <f aca="false">IF($A177="","",$C177&amp;" | "&amp;$D177)</f>
        <v>Immigration and visas | Filed, awaiting a decision or with an evidence request pending</v>
      </c>
      <c r="T177" s="66" t="str">
        <f aca="false">IF($A177="","",IF(AND($L177="Outside provider",OR($E177="Intake",$E177="Active",$E177="Waiting")),"Yes","No"))</f>
        <v>No</v>
      </c>
    </row>
    <row r="178" customFormat="false" ht="15" hidden="false" customHeight="true" outlineLevel="0" collapsed="false">
      <c r="A178" s="63" t="s">
        <v>779</v>
      </c>
      <c r="B178" s="63" t="s">
        <v>780</v>
      </c>
      <c r="C178" s="63" t="s">
        <v>487</v>
      </c>
      <c r="D178" s="63" t="s">
        <v>636</v>
      </c>
      <c r="E178" s="63" t="str">
        <f aca="false">IF($A178="","",IFERROR(INDEX('Status map'!$D$6:$D$64,MATCH($C178&amp;" | "&amp;$D178,'Status map'!$I$6:$I$64,0)),"Unmapped"))</f>
        <v>Active</v>
      </c>
      <c r="F178" s="63" t="s">
        <v>482</v>
      </c>
      <c r="G178" s="69" t="n">
        <v>46139</v>
      </c>
      <c r="H178" s="69"/>
      <c r="I178" s="69" t="n">
        <v>46250</v>
      </c>
      <c r="J178" s="63" t="s">
        <v>449</v>
      </c>
      <c r="K178" s="63" t="s">
        <v>456</v>
      </c>
      <c r="L178" s="63" t="s">
        <v>451</v>
      </c>
      <c r="M178" s="66" t="n">
        <f aca="false">IF(OR($A178="",$H178&lt;&gt;""),"",Targets!$C$8-$I178)</f>
        <v>15</v>
      </c>
      <c r="N178" s="66" t="str">
        <f aca="false">IF($A178="","",IF(AND($F178="Project",$E178="Active",$M178&lt;&gt;"",$M178&gt;Targets!$C$12),"Yes","No"))</f>
        <v>No</v>
      </c>
      <c r="O178" s="66" t="str">
        <f aca="false">IF($A178="","",IF(AND($G178&gt;=Targets!$C$7,$G178&lt;=Targets!$C$8),"Yes","No"))</f>
        <v>No</v>
      </c>
      <c r="P178" s="66" t="str">
        <f aca="false">IF($A178="","",IF(AND($H178&lt;&gt;"",$H178&gt;=Targets!$C$7,$H178&lt;=Targets!$C$8),"Yes","No"))</f>
        <v>No</v>
      </c>
      <c r="Q178" s="66" t="str">
        <f aca="false">IF($A178="","",IF(AND($F178="Project",$E178&lt;&gt;"Closed",$E178&lt;&gt;"Dormant"),"Yes","No"))</f>
        <v>No</v>
      </c>
      <c r="R178" s="66" t="str">
        <f aca="false">IF($A178="","",IF(AND($L178="In-house",OR($E178="Intake",$E178="Active",$E178="Waiting")),"Yes","No"))</f>
        <v>Yes</v>
      </c>
      <c r="S178" s="66" t="str">
        <f aca="false">IF($A178="","",$C178&amp;" | "&amp;$D178)</f>
        <v>Corporate and entity management | Formation, change, or dissolution in progress</v>
      </c>
      <c r="T178" s="66" t="str">
        <f aca="false">IF($A178="","",IF(AND($L178="Outside provider",OR($E178="Intake",$E178="Active",$E178="Waiting")),"Yes","No"))</f>
        <v>No</v>
      </c>
    </row>
    <row r="179" customFormat="false" ht="15" hidden="false" customHeight="true" outlineLevel="0" collapsed="false">
      <c r="A179" s="67" t="s">
        <v>781</v>
      </c>
      <c r="B179" s="67" t="s">
        <v>782</v>
      </c>
      <c r="C179" s="67" t="s">
        <v>465</v>
      </c>
      <c r="D179" s="67" t="s">
        <v>466</v>
      </c>
      <c r="E179" s="67" t="str">
        <f aca="false">IF($A179="","",IFERROR(INDEX('Status map'!$D$6:$D$64,MATCH($C179&amp;" | "&amp;$D179,'Status map'!$I$6:$I$64,0)),"Unmapped"))</f>
        <v>Closed</v>
      </c>
      <c r="F179" s="67" t="s">
        <v>448</v>
      </c>
      <c r="G179" s="70" t="n">
        <v>46132</v>
      </c>
      <c r="H179" s="70" t="n">
        <v>46179</v>
      </c>
      <c r="I179" s="70" t="n">
        <v>46179</v>
      </c>
      <c r="J179" s="67" t="s">
        <v>470</v>
      </c>
      <c r="K179" s="67" t="s">
        <v>456</v>
      </c>
      <c r="L179" s="67" t="s">
        <v>451</v>
      </c>
      <c r="M179" s="66" t="str">
        <f aca="false">IF(OR($A179="",$H179&lt;&gt;""),"",Targets!$C$8-$I179)</f>
        <v/>
      </c>
      <c r="N179" s="66" t="str">
        <f aca="false">IF($A179="","",IF(AND($F179="Project",$E179="Active",$M179&lt;&gt;"",$M179&gt;Targets!$C$12),"Yes","No"))</f>
        <v>No</v>
      </c>
      <c r="O179" s="66" t="str">
        <f aca="false">IF($A179="","",IF(AND($G179&gt;=Targets!$C$7,$G179&lt;=Targets!$C$8),"Yes","No"))</f>
        <v>No</v>
      </c>
      <c r="P179" s="66" t="str">
        <f aca="false">IF($A179="","",IF(AND($H179&lt;&gt;"",$H179&gt;=Targets!$C$7,$H179&lt;=Targets!$C$8),"Yes","No"))</f>
        <v>No</v>
      </c>
      <c r="Q179" s="66" t="str">
        <f aca="false">IF($A179="","",IF(AND($F179="Project",$E179&lt;&gt;"Closed",$E179&lt;&gt;"Dormant"),"Yes","No"))</f>
        <v>No</v>
      </c>
      <c r="R179" s="66" t="str">
        <f aca="false">IF($A179="","",IF(AND($L179="In-house",OR($E179="Intake",$E179="Active",$E179="Waiting")),"Yes","No"))</f>
        <v>No</v>
      </c>
      <c r="S179" s="66" t="str">
        <f aca="false">IF($A179="","",$C179&amp;" | "&amp;$D179)</f>
        <v>Immigration and visas | Denied or withdrawn</v>
      </c>
      <c r="T179" s="66" t="str">
        <f aca="false">IF($A179="","",IF(AND($L179="Outside provider",OR($E179="Intake",$E179="Active",$E179="Waiting")),"Yes","No"))</f>
        <v>No</v>
      </c>
    </row>
    <row r="180" customFormat="false" ht="15" hidden="false" customHeight="true" outlineLevel="0" collapsed="false">
      <c r="A180" s="63" t="s">
        <v>783</v>
      </c>
      <c r="B180" s="63" t="s">
        <v>784</v>
      </c>
      <c r="C180" s="63" t="s">
        <v>501</v>
      </c>
      <c r="D180" s="63" t="s">
        <v>502</v>
      </c>
      <c r="E180" s="63" t="str">
        <f aca="false">IF($A180="","",IFERROR(INDEX('Status map'!$D$6:$D$64,MATCH($C180&amp;" | "&amp;$D180,'Status map'!$I$6:$I$64,0)),"Unmapped"))</f>
        <v>Closed</v>
      </c>
      <c r="F180" s="63" t="s">
        <v>448</v>
      </c>
      <c r="G180" s="69" t="n">
        <v>45906</v>
      </c>
      <c r="H180" s="69" t="n">
        <v>45973</v>
      </c>
      <c r="I180" s="69" t="n">
        <v>45973</v>
      </c>
      <c r="J180" s="63" t="s">
        <v>456</v>
      </c>
      <c r="K180" s="63" t="s">
        <v>492</v>
      </c>
      <c r="L180" s="63" t="s">
        <v>451</v>
      </c>
      <c r="M180" s="66" t="str">
        <f aca="false">IF(OR($A180="",$H180&lt;&gt;""),"",Targets!$C$8-$I180)</f>
        <v/>
      </c>
      <c r="N180" s="66" t="str">
        <f aca="false">IF($A180="","",IF(AND($F180="Project",$E180="Active",$M180&lt;&gt;"",$M180&gt;Targets!$C$12),"Yes","No"))</f>
        <v>No</v>
      </c>
      <c r="O180" s="66" t="str">
        <f aca="false">IF($A180="","",IF(AND($G180&gt;=Targets!$C$7,$G180&lt;=Targets!$C$8),"Yes","No"))</f>
        <v>No</v>
      </c>
      <c r="P180" s="66" t="str">
        <f aca="false">IF($A180="","",IF(AND($H180&lt;&gt;"",$H180&gt;=Targets!$C$7,$H180&lt;=Targets!$C$8),"Yes","No"))</f>
        <v>No</v>
      </c>
      <c r="Q180" s="66" t="str">
        <f aca="false">IF($A180="","",IF(AND($F180="Project",$E180&lt;&gt;"Closed",$E180&lt;&gt;"Dormant"),"Yes","No"))</f>
        <v>No</v>
      </c>
      <c r="R180" s="66" t="str">
        <f aca="false">IF($A180="","",IF(AND($L180="In-house",OR($E180="Intake",$E180="Active",$E180="Waiting")),"Yes","No"))</f>
        <v>No</v>
      </c>
      <c r="S180" s="66" t="str">
        <f aca="false">IF($A180="","",$C180&amp;" | "&amp;$D180)</f>
        <v>M&amp;A and corporate deals | Deal closed</v>
      </c>
      <c r="T180" s="66" t="str">
        <f aca="false">IF($A180="","",IF(AND($L180="Outside provider",OR($E180="Intake",$E180="Active",$E180="Waiting")),"Yes","No"))</f>
        <v>No</v>
      </c>
    </row>
    <row r="181" customFormat="false" ht="15" hidden="false" customHeight="true" outlineLevel="0" collapsed="false">
      <c r="A181" s="67" t="s">
        <v>382</v>
      </c>
      <c r="B181" s="67" t="s">
        <v>785</v>
      </c>
      <c r="C181" s="67" t="s">
        <v>465</v>
      </c>
      <c r="D181" s="67" t="s">
        <v>466</v>
      </c>
      <c r="E181" s="67" t="str">
        <f aca="false">IF($A181="","",IFERROR(INDEX('Status map'!$D$6:$D$64,MATCH($C181&amp;" | "&amp;$D181,'Status map'!$I$6:$I$64,0)),"Unmapped"))</f>
        <v>Closed</v>
      </c>
      <c r="F181" s="67" t="s">
        <v>448</v>
      </c>
      <c r="G181" s="70" t="n">
        <v>46247</v>
      </c>
      <c r="H181" s="70" t="n">
        <v>46250</v>
      </c>
      <c r="I181" s="70" t="n">
        <v>46250</v>
      </c>
      <c r="J181" s="67" t="s">
        <v>492</v>
      </c>
      <c r="K181" s="67" t="s">
        <v>470</v>
      </c>
      <c r="L181" s="67" t="s">
        <v>451</v>
      </c>
      <c r="M181" s="66" t="str">
        <f aca="false">IF(OR($A181="",$H181&lt;&gt;""),"",Targets!$C$8-$I181)</f>
        <v/>
      </c>
      <c r="N181" s="66" t="str">
        <f aca="false">IF($A181="","",IF(AND($F181="Project",$E181="Active",$M181&lt;&gt;"",$M181&gt;Targets!$C$12),"Yes","No"))</f>
        <v>No</v>
      </c>
      <c r="O181" s="66" t="str">
        <f aca="false">IF($A181="","",IF(AND($G181&gt;=Targets!$C$7,$G181&lt;=Targets!$C$8),"Yes","No"))</f>
        <v>Yes</v>
      </c>
      <c r="P181" s="66" t="str">
        <f aca="false">IF($A181="","",IF(AND($H181&lt;&gt;"",$H181&gt;=Targets!$C$7,$H181&lt;=Targets!$C$8),"Yes","No"))</f>
        <v>Yes</v>
      </c>
      <c r="Q181" s="66" t="str">
        <f aca="false">IF($A181="","",IF(AND($F181="Project",$E181&lt;&gt;"Closed",$E181&lt;&gt;"Dormant"),"Yes","No"))</f>
        <v>No</v>
      </c>
      <c r="R181" s="66" t="str">
        <f aca="false">IF($A181="","",IF(AND($L181="In-house",OR($E181="Intake",$E181="Active",$E181="Waiting")),"Yes","No"))</f>
        <v>No</v>
      </c>
      <c r="S181" s="66" t="str">
        <f aca="false">IF($A181="","",$C181&amp;" | "&amp;$D181)</f>
        <v>Immigration and visas | Denied or withdrawn</v>
      </c>
      <c r="T181" s="66" t="str">
        <f aca="false">IF($A181="","",IF(AND($L181="Outside provider",OR($E181="Intake",$E181="Active",$E181="Waiting")),"Yes","No"))</f>
        <v>No</v>
      </c>
    </row>
    <row r="182" customFormat="false" ht="15" hidden="false" customHeight="true" outlineLevel="0" collapsed="false">
      <c r="A182" s="63" t="s">
        <v>786</v>
      </c>
      <c r="B182" s="63" t="s">
        <v>787</v>
      </c>
      <c r="C182" s="63" t="s">
        <v>446</v>
      </c>
      <c r="D182" s="63" t="s">
        <v>563</v>
      </c>
      <c r="E182" s="63" t="str">
        <f aca="false">IF($A182="","",IFERROR(INDEX('Status map'!$D$6:$D$64,MATCH($C182&amp;" | "&amp;$D182,'Status map'!$I$6:$I$64,0)),"Unmapped"))</f>
        <v>Waiting</v>
      </c>
      <c r="F182" s="63" t="s">
        <v>448</v>
      </c>
      <c r="G182" s="69" t="n">
        <v>46051</v>
      </c>
      <c r="H182" s="69"/>
      <c r="I182" s="69" t="n">
        <v>46237</v>
      </c>
      <c r="J182" s="63" t="s">
        <v>461</v>
      </c>
      <c r="K182" s="63" t="s">
        <v>449</v>
      </c>
      <c r="L182" s="63" t="s">
        <v>451</v>
      </c>
      <c r="M182" s="66" t="n">
        <f aca="false">IF(OR($A182="",$H182&lt;&gt;""),"",Targets!$C$8-$I182)</f>
        <v>28</v>
      </c>
      <c r="N182" s="66" t="str">
        <f aca="false">IF($A182="","",IF(AND($F182="Project",$E182="Active",$M182&lt;&gt;"",$M182&gt;Targets!$C$12),"Yes","No"))</f>
        <v>No</v>
      </c>
      <c r="O182" s="66" t="str">
        <f aca="false">IF($A182="","",IF(AND($G182&gt;=Targets!$C$7,$G182&lt;=Targets!$C$8),"Yes","No"))</f>
        <v>No</v>
      </c>
      <c r="P182" s="66" t="str">
        <f aca="false">IF($A182="","",IF(AND($H182&lt;&gt;"",$H182&gt;=Targets!$C$7,$H182&lt;=Targets!$C$8),"Yes","No"))</f>
        <v>No</v>
      </c>
      <c r="Q182" s="66" t="str">
        <f aca="false">IF($A182="","",IF(AND($F182="Project",$E182&lt;&gt;"Closed",$E182&lt;&gt;"Dormant"),"Yes","No"))</f>
        <v>Yes</v>
      </c>
      <c r="R182" s="66" t="str">
        <f aca="false">IF($A182="","",IF(AND($L182="In-house",OR($E182="Intake",$E182="Active",$E182="Waiting")),"Yes","No"))</f>
        <v>Yes</v>
      </c>
      <c r="S182" s="66" t="str">
        <f aca="false">IF($A182="","",$C182&amp;" | "&amp;$D182)</f>
        <v>Employment | Awaiting the employee, an agency, or outside counsel</v>
      </c>
      <c r="T182" s="66" t="str">
        <f aca="false">IF($A182="","",IF(AND($L182="Outside provider",OR($E182="Intake",$E182="Active",$E182="Waiting")),"Yes","No"))</f>
        <v>No</v>
      </c>
    </row>
    <row r="183" customFormat="false" ht="15" hidden="false" customHeight="true" outlineLevel="0" collapsed="false">
      <c r="A183" s="67" t="s">
        <v>788</v>
      </c>
      <c r="B183" s="67" t="s">
        <v>789</v>
      </c>
      <c r="C183" s="67" t="s">
        <v>487</v>
      </c>
      <c r="D183" s="67" t="s">
        <v>488</v>
      </c>
      <c r="E183" s="67" t="str">
        <f aca="false">IF($A183="","",IFERROR(INDEX('Status map'!$D$6:$D$64,MATCH($C183&amp;" | "&amp;$D183,'Status map'!$I$6:$I$64,0)),"Unmapped"))</f>
        <v>Intake</v>
      </c>
      <c r="F183" s="67" t="s">
        <v>482</v>
      </c>
      <c r="G183" s="70" t="n">
        <v>46217</v>
      </c>
      <c r="H183" s="70"/>
      <c r="I183" s="70" t="n">
        <v>46252</v>
      </c>
      <c r="J183" s="67" t="s">
        <v>461</v>
      </c>
      <c r="K183" s="67" t="s">
        <v>461</v>
      </c>
      <c r="L183" s="67" t="s">
        <v>451</v>
      </c>
      <c r="M183" s="66" t="n">
        <f aca="false">IF(OR($A183="",$H183&lt;&gt;""),"",Targets!$C$8-$I183)</f>
        <v>13</v>
      </c>
      <c r="N183" s="66" t="str">
        <f aca="false">IF($A183="","",IF(AND($F183="Project",$E183="Active",$M183&lt;&gt;"",$M183&gt;Targets!$C$12),"Yes","No"))</f>
        <v>No</v>
      </c>
      <c r="O183" s="66" t="str">
        <f aca="false">IF($A183="","",IF(AND($G183&gt;=Targets!$C$7,$G183&lt;=Targets!$C$8),"Yes","No"))</f>
        <v>No</v>
      </c>
      <c r="P183" s="66" t="str">
        <f aca="false">IF($A183="","",IF(AND($H183&lt;&gt;"",$H183&gt;=Targets!$C$7,$H183&lt;=Targets!$C$8),"Yes","No"))</f>
        <v>No</v>
      </c>
      <c r="Q183" s="66" t="str">
        <f aca="false">IF($A183="","",IF(AND($F183="Project",$E183&lt;&gt;"Closed",$E183&lt;&gt;"Dormant"),"Yes","No"))</f>
        <v>No</v>
      </c>
      <c r="R183" s="66" t="str">
        <f aca="false">IF($A183="","",IF(AND($L183="In-house",OR($E183="Intake",$E183="Active",$E183="Waiting")),"Yes","No"))</f>
        <v>Yes</v>
      </c>
      <c r="S183" s="66" t="str">
        <f aca="false">IF($A183="","",$C183&amp;" | "&amp;$D183)</f>
        <v>Corporate and entity management | Request logged, not started</v>
      </c>
      <c r="T183" s="66" t="str">
        <f aca="false">IF($A183="","",IF(AND($L183="Outside provider",OR($E183="Intake",$E183="Active",$E183="Waiting")),"Yes","No"))</f>
        <v>No</v>
      </c>
    </row>
    <row r="184" customFormat="false" ht="15" hidden="false" customHeight="true" outlineLevel="0" collapsed="false">
      <c r="A184" s="63" t="s">
        <v>361</v>
      </c>
      <c r="B184" s="63" t="s">
        <v>640</v>
      </c>
      <c r="C184" s="63" t="s">
        <v>446</v>
      </c>
      <c r="D184" s="63" t="s">
        <v>447</v>
      </c>
      <c r="E184" s="63" t="str">
        <f aca="false">IF($A184="","",IFERROR(INDEX('Status map'!$D$6:$D$64,MATCH($C184&amp;" | "&amp;$D184,'Status map'!$I$6:$I$64,0)),"Unmapped"))</f>
        <v>Intake</v>
      </c>
      <c r="F184" s="63" t="s">
        <v>448</v>
      </c>
      <c r="G184" s="69" t="n">
        <v>46237</v>
      </c>
      <c r="H184" s="69"/>
      <c r="I184" s="69" t="n">
        <v>46252</v>
      </c>
      <c r="J184" s="63" t="s">
        <v>462</v>
      </c>
      <c r="K184" s="63" t="s">
        <v>492</v>
      </c>
      <c r="L184" s="63" t="s">
        <v>451</v>
      </c>
      <c r="M184" s="66" t="n">
        <f aca="false">IF(OR($A184="",$H184&lt;&gt;""),"",Targets!$C$8-$I184)</f>
        <v>13</v>
      </c>
      <c r="N184" s="66" t="str">
        <f aca="false">IF($A184="","",IF(AND($F184="Project",$E184="Active",$M184&lt;&gt;"",$M184&gt;Targets!$C$12),"Yes","No"))</f>
        <v>No</v>
      </c>
      <c r="O184" s="66" t="str">
        <f aca="false">IF($A184="","",IF(AND($G184&gt;=Targets!$C$7,$G184&lt;=Targets!$C$8),"Yes","No"))</f>
        <v>Yes</v>
      </c>
      <c r="P184" s="66" t="str">
        <f aca="false">IF($A184="","",IF(AND($H184&lt;&gt;"",$H184&gt;=Targets!$C$7,$H184&lt;=Targets!$C$8),"Yes","No"))</f>
        <v>No</v>
      </c>
      <c r="Q184" s="66" t="str">
        <f aca="false">IF($A184="","",IF(AND($F184="Project",$E184&lt;&gt;"Closed",$E184&lt;&gt;"Dormant"),"Yes","No"))</f>
        <v>Yes</v>
      </c>
      <c r="R184" s="66" t="str">
        <f aca="false">IF($A184="","",IF(AND($L184="In-house",OR($E184="Intake",$E184="Active",$E184="Waiting")),"Yes","No"))</f>
        <v>Yes</v>
      </c>
      <c r="S184" s="66" t="str">
        <f aca="false">IF($A184="","",$C184&amp;" | "&amp;$D184)</f>
        <v>Employment | Complaint or claim received</v>
      </c>
      <c r="T184" s="66" t="str">
        <f aca="false">IF($A184="","",IF(AND($L184="Outside provider",OR($E184="Intake",$E184="Active",$E184="Waiting")),"Yes","No"))</f>
        <v>No</v>
      </c>
    </row>
    <row r="185" customFormat="false" ht="15" hidden="false" customHeight="true" outlineLevel="0" collapsed="false">
      <c r="A185" s="67" t="s">
        <v>790</v>
      </c>
      <c r="B185" s="67" t="s">
        <v>791</v>
      </c>
      <c r="C185" s="67" t="s">
        <v>465</v>
      </c>
      <c r="D185" s="67" t="s">
        <v>469</v>
      </c>
      <c r="E185" s="67" t="str">
        <f aca="false">IF($A185="","",IFERROR(INDEX('Status map'!$D$6:$D$64,MATCH($C185&amp;" | "&amp;$D185,'Status map'!$I$6:$I$64,0)),"Unmapped"))</f>
        <v>Active</v>
      </c>
      <c r="F185" s="67" t="s">
        <v>448</v>
      </c>
      <c r="G185" s="70" t="n">
        <v>45993</v>
      </c>
      <c r="H185" s="70"/>
      <c r="I185" s="70" t="n">
        <v>46222</v>
      </c>
      <c r="J185" s="67" t="s">
        <v>456</v>
      </c>
      <c r="K185" s="67" t="s">
        <v>664</v>
      </c>
      <c r="L185" s="67" t="s">
        <v>496</v>
      </c>
      <c r="M185" s="66" t="n">
        <f aca="false">IF(OR($A185="",$H185&lt;&gt;""),"",Targets!$C$8-$I185)</f>
        <v>43</v>
      </c>
      <c r="N185" s="66" t="str">
        <f aca="false">IF($A185="","",IF(AND($F185="Project",$E185="Active",$M185&lt;&gt;"",$M185&gt;Targets!$C$12),"Yes","No"))</f>
        <v>Yes</v>
      </c>
      <c r="O185" s="66" t="str">
        <f aca="false">IF($A185="","",IF(AND($G185&gt;=Targets!$C$7,$G185&lt;=Targets!$C$8),"Yes","No"))</f>
        <v>No</v>
      </c>
      <c r="P185" s="66" t="str">
        <f aca="false">IF($A185="","",IF(AND($H185&lt;&gt;"",$H185&gt;=Targets!$C$7,$H185&lt;=Targets!$C$8),"Yes","No"))</f>
        <v>No</v>
      </c>
      <c r="Q185" s="66" t="str">
        <f aca="false">IF($A185="","",IF(AND($F185="Project",$E185&lt;&gt;"Closed",$E185&lt;&gt;"Dormant"),"Yes","No"))</f>
        <v>Yes</v>
      </c>
      <c r="R185" s="66" t="str">
        <f aca="false">IF($A185="","",IF(AND($L185="In-house",OR($E185="Intake",$E185="Active",$E185="Waiting")),"Yes","No"))</f>
        <v>No</v>
      </c>
      <c r="S185" s="66" t="str">
        <f aca="false">IF($A185="","",$C185&amp;" | "&amp;$D185)</f>
        <v>Immigration and visas | Petition or an evidence response being prepared</v>
      </c>
      <c r="T185" s="66" t="str">
        <f aca="false">IF($A185="","",IF(AND($L185="Outside provider",OR($E185="Intake",$E185="Active",$E185="Waiting")),"Yes","No"))</f>
        <v>Yes</v>
      </c>
    </row>
    <row r="186" customFormat="false" ht="15" hidden="false" customHeight="true" outlineLevel="0" collapsed="false">
      <c r="A186" s="63" t="s">
        <v>792</v>
      </c>
      <c r="B186" s="63" t="s">
        <v>793</v>
      </c>
      <c r="C186" s="63" t="s">
        <v>446</v>
      </c>
      <c r="D186" s="63" t="s">
        <v>473</v>
      </c>
      <c r="E186" s="63" t="str">
        <f aca="false">IF($A186="","",IFERROR(INDEX('Status map'!$D$6:$D$64,MATCH($C186&amp;" | "&amp;$D186,'Status map'!$I$6:$I$64,0)),"Unmapped"))</f>
        <v>Closed</v>
      </c>
      <c r="F186" s="63" t="s">
        <v>448</v>
      </c>
      <c r="G186" s="69" t="n">
        <v>45776</v>
      </c>
      <c r="H186" s="69" t="n">
        <v>45883</v>
      </c>
      <c r="I186" s="69" t="n">
        <v>45883</v>
      </c>
      <c r="J186" s="63" t="s">
        <v>461</v>
      </c>
      <c r="K186" s="63" t="s">
        <v>449</v>
      </c>
      <c r="L186" s="63" t="s">
        <v>451</v>
      </c>
      <c r="M186" s="66" t="str">
        <f aca="false">IF(OR($A186="",$H186&lt;&gt;""),"",Targets!$C$8-$I186)</f>
        <v/>
      </c>
      <c r="N186" s="66" t="str">
        <f aca="false">IF($A186="","",IF(AND($F186="Project",$E186="Active",$M186&lt;&gt;"",$M186&gt;Targets!$C$12),"Yes","No"))</f>
        <v>No</v>
      </c>
      <c r="O186" s="66" t="str">
        <f aca="false">IF($A186="","",IF(AND($G186&gt;=Targets!$C$7,$G186&lt;=Targets!$C$8),"Yes","No"))</f>
        <v>No</v>
      </c>
      <c r="P186" s="66" t="str">
        <f aca="false">IF($A186="","",IF(AND($H186&lt;&gt;"",$H186&gt;=Targets!$C$7,$H186&lt;=Targets!$C$8),"Yes","No"))</f>
        <v>No</v>
      </c>
      <c r="Q186" s="66" t="str">
        <f aca="false">IF($A186="","",IF(AND($F186="Project",$E186&lt;&gt;"Closed",$E186&lt;&gt;"Dormant"),"Yes","No"))</f>
        <v>No</v>
      </c>
      <c r="R186" s="66" t="str">
        <f aca="false">IF($A186="","",IF(AND($L186="In-house",OR($E186="Intake",$E186="Active",$E186="Waiting")),"Yes","No"))</f>
        <v>No</v>
      </c>
      <c r="S186" s="66" t="str">
        <f aca="false">IF($A186="","",$C186&amp;" | "&amp;$D186)</f>
        <v>Employment | Resolved or closed</v>
      </c>
      <c r="T186" s="66" t="str">
        <f aca="false">IF($A186="","",IF(AND($L186="Outside provider",OR($E186="Intake",$E186="Active",$E186="Waiting")),"Yes","No"))</f>
        <v>No</v>
      </c>
    </row>
    <row r="187" customFormat="false" ht="15" hidden="false" customHeight="true" outlineLevel="0" collapsed="false">
      <c r="A187" s="67" t="s">
        <v>794</v>
      </c>
      <c r="B187" s="67" t="s">
        <v>795</v>
      </c>
      <c r="C187" s="67" t="s">
        <v>459</v>
      </c>
      <c r="D187" s="67" t="s">
        <v>491</v>
      </c>
      <c r="E187" s="67" t="str">
        <f aca="false">IF($A187="","",IFERROR(INDEX('Status map'!$D$6:$D$64,MATCH($C187&amp;" | "&amp;$D187,'Status map'!$I$6:$I$64,0)),"Unmapped"))</f>
        <v>Active</v>
      </c>
      <c r="F187" s="67" t="s">
        <v>448</v>
      </c>
      <c r="G187" s="70" t="n">
        <v>45923</v>
      </c>
      <c r="H187" s="70"/>
      <c r="I187" s="70" t="n">
        <v>46250</v>
      </c>
      <c r="J187" s="67" t="s">
        <v>450</v>
      </c>
      <c r="K187" s="67" t="s">
        <v>470</v>
      </c>
      <c r="L187" s="67" t="s">
        <v>451</v>
      </c>
      <c r="M187" s="66" t="n">
        <f aca="false">IF(OR($A187="",$H187&lt;&gt;""),"",Targets!$C$8-$I187)</f>
        <v>15</v>
      </c>
      <c r="N187" s="66" t="str">
        <f aca="false">IF($A187="","",IF(AND($F187="Project",$E187="Active",$M187&lt;&gt;"",$M187&gt;Targets!$C$12),"Yes","No"))</f>
        <v>No</v>
      </c>
      <c r="O187" s="66" t="str">
        <f aca="false">IF($A187="","",IF(AND($G187&gt;=Targets!$C$7,$G187&lt;=Targets!$C$8),"Yes","No"))</f>
        <v>No</v>
      </c>
      <c r="P187" s="66" t="str">
        <f aca="false">IF($A187="","",IF(AND($H187&lt;&gt;"",$H187&gt;=Targets!$C$7,$H187&lt;=Targets!$C$8),"Yes","No"))</f>
        <v>No</v>
      </c>
      <c r="Q187" s="66" t="str">
        <f aca="false">IF($A187="","",IF(AND($F187="Project",$E187&lt;&gt;"Closed",$E187&lt;&gt;"Dormant"),"Yes","No"))</f>
        <v>Yes</v>
      </c>
      <c r="R187" s="66" t="str">
        <f aca="false">IF($A187="","",IF(AND($L187="In-house",OR($E187="Intake",$E187="Active",$E187="Waiting")),"Yes","No"))</f>
        <v>Yes</v>
      </c>
      <c r="S187" s="66" t="str">
        <f aca="false">IF($A187="","",$C187&amp;" | "&amp;$D187)</f>
        <v>Contracts | Drafting, review, or negotiation</v>
      </c>
      <c r="T187" s="66" t="str">
        <f aca="false">IF($A187="","",IF(AND($L187="Outside provider",OR($E187="Intake",$E187="Active",$E187="Waiting")),"Yes","No"))</f>
        <v>No</v>
      </c>
    </row>
    <row r="188" customFormat="false" ht="15" hidden="false" customHeight="true" outlineLevel="0" collapsed="false">
      <c r="A188" s="63" t="s">
        <v>796</v>
      </c>
      <c r="B188" s="63" t="s">
        <v>787</v>
      </c>
      <c r="C188" s="63" t="s">
        <v>446</v>
      </c>
      <c r="D188" s="63" t="s">
        <v>473</v>
      </c>
      <c r="E188" s="63" t="str">
        <f aca="false">IF($A188="","",IFERROR(INDEX('Status map'!$D$6:$D$64,MATCH($C188&amp;" | "&amp;$D188,'Status map'!$I$6:$I$64,0)),"Unmapped"))</f>
        <v>Closed</v>
      </c>
      <c r="F188" s="63" t="s">
        <v>448</v>
      </c>
      <c r="G188" s="69" t="n">
        <v>46038</v>
      </c>
      <c r="H188" s="69" t="n">
        <v>46157</v>
      </c>
      <c r="I188" s="69" t="n">
        <v>46157</v>
      </c>
      <c r="J188" s="63" t="s">
        <v>462</v>
      </c>
      <c r="K188" s="63" t="s">
        <v>461</v>
      </c>
      <c r="L188" s="63" t="s">
        <v>451</v>
      </c>
      <c r="M188" s="66" t="str">
        <f aca="false">IF(OR($A188="",$H188&lt;&gt;""),"",Targets!$C$8-$I188)</f>
        <v/>
      </c>
      <c r="N188" s="66" t="str">
        <f aca="false">IF($A188="","",IF(AND($F188="Project",$E188="Active",$M188&lt;&gt;"",$M188&gt;Targets!$C$12),"Yes","No"))</f>
        <v>No</v>
      </c>
      <c r="O188" s="66" t="str">
        <f aca="false">IF($A188="","",IF(AND($G188&gt;=Targets!$C$7,$G188&lt;=Targets!$C$8),"Yes","No"))</f>
        <v>No</v>
      </c>
      <c r="P188" s="66" t="str">
        <f aca="false">IF($A188="","",IF(AND($H188&lt;&gt;"",$H188&gt;=Targets!$C$7,$H188&lt;=Targets!$C$8),"Yes","No"))</f>
        <v>No</v>
      </c>
      <c r="Q188" s="66" t="str">
        <f aca="false">IF($A188="","",IF(AND($F188="Project",$E188&lt;&gt;"Closed",$E188&lt;&gt;"Dormant"),"Yes","No"))</f>
        <v>No</v>
      </c>
      <c r="R188" s="66" t="str">
        <f aca="false">IF($A188="","",IF(AND($L188="In-house",OR($E188="Intake",$E188="Active",$E188="Waiting")),"Yes","No"))</f>
        <v>No</v>
      </c>
      <c r="S188" s="66" t="str">
        <f aca="false">IF($A188="","",$C188&amp;" | "&amp;$D188)</f>
        <v>Employment | Resolved or closed</v>
      </c>
      <c r="T188" s="66" t="str">
        <f aca="false">IF($A188="","",IF(AND($L188="Outside provider",OR($E188="Intake",$E188="Active",$E188="Waiting")),"Yes","No"))</f>
        <v>No</v>
      </c>
    </row>
    <row r="189" customFormat="false" ht="15" hidden="false" customHeight="true" outlineLevel="0" collapsed="false">
      <c r="A189" s="67" t="s">
        <v>797</v>
      </c>
      <c r="B189" s="67" t="s">
        <v>798</v>
      </c>
      <c r="C189" s="67" t="s">
        <v>501</v>
      </c>
      <c r="D189" s="67" t="s">
        <v>683</v>
      </c>
      <c r="E189" s="67" t="str">
        <f aca="false">IF($A189="","",IFERROR(INDEX('Status map'!$D$6:$D$64,MATCH($C189&amp;" | "&amp;$D189,'Status map'!$I$6:$I$64,0)),"Unmapped"))</f>
        <v>Active</v>
      </c>
      <c r="F189" s="67" t="s">
        <v>510</v>
      </c>
      <c r="G189" s="70" t="n">
        <v>44723</v>
      </c>
      <c r="H189" s="70"/>
      <c r="I189" s="70" t="n">
        <v>46251</v>
      </c>
      <c r="J189" s="67" t="s">
        <v>492</v>
      </c>
      <c r="K189" s="67" t="s">
        <v>450</v>
      </c>
      <c r="L189" s="67" t="s">
        <v>451</v>
      </c>
      <c r="M189" s="66" t="n">
        <f aca="false">IF(OR($A189="",$H189&lt;&gt;""),"",Targets!$C$8-$I189)</f>
        <v>14</v>
      </c>
      <c r="N189" s="66" t="str">
        <f aca="false">IF($A189="","",IF(AND($F189="Project",$E189="Active",$M189&lt;&gt;"",$M189&gt;Targets!$C$12),"Yes","No"))</f>
        <v>No</v>
      </c>
      <c r="O189" s="66" t="str">
        <f aca="false">IF($A189="","",IF(AND($G189&gt;=Targets!$C$7,$G189&lt;=Targets!$C$8),"Yes","No"))</f>
        <v>No</v>
      </c>
      <c r="P189" s="66" t="str">
        <f aca="false">IF($A189="","",IF(AND($H189&lt;&gt;"",$H189&gt;=Targets!$C$7,$H189&lt;=Targets!$C$8),"Yes","No"))</f>
        <v>No</v>
      </c>
      <c r="Q189" s="66" t="str">
        <f aca="false">IF($A189="","",IF(AND($F189="Project",$E189&lt;&gt;"Closed",$E189&lt;&gt;"Dormant"),"Yes","No"))</f>
        <v>No</v>
      </c>
      <c r="R189" s="66" t="str">
        <f aca="false">IF($A189="","",IF(AND($L189="In-house",OR($E189="Intake",$E189="Active",$E189="Waiting")),"Yes","No"))</f>
        <v>Yes</v>
      </c>
      <c r="S189" s="66" t="str">
        <f aca="false">IF($A189="","",$C189&amp;" | "&amp;$D189)</f>
        <v>M&amp;A and corporate deals | Due diligence and negotiation underway</v>
      </c>
      <c r="T189" s="66" t="str">
        <f aca="false">IF($A189="","",IF(AND($L189="Outside provider",OR($E189="Intake",$E189="Active",$E189="Waiting")),"Yes","No"))</f>
        <v>No</v>
      </c>
    </row>
    <row r="190" customFormat="false" ht="15" hidden="false" customHeight="true" outlineLevel="0" collapsed="false">
      <c r="A190" s="63" t="s">
        <v>799</v>
      </c>
      <c r="B190" s="63" t="s">
        <v>800</v>
      </c>
      <c r="C190" s="63" t="s">
        <v>487</v>
      </c>
      <c r="D190" s="63" t="s">
        <v>601</v>
      </c>
      <c r="E190" s="63" t="str">
        <f aca="false">IF($A190="","",IFERROR(INDEX('Status map'!$D$6:$D$64,MATCH($C190&amp;" | "&amp;$D190,'Status map'!$I$6:$I$64,0)),"Unmapped"))</f>
        <v>Closed</v>
      </c>
      <c r="F190" s="63" t="s">
        <v>482</v>
      </c>
      <c r="G190" s="69" t="n">
        <v>46045</v>
      </c>
      <c r="H190" s="69" t="n">
        <v>46246</v>
      </c>
      <c r="I190" s="69" t="n">
        <v>46246</v>
      </c>
      <c r="J190" s="63" t="s">
        <v>449</v>
      </c>
      <c r="K190" s="63" t="s">
        <v>538</v>
      </c>
      <c r="L190" s="63" t="s">
        <v>496</v>
      </c>
      <c r="M190" s="66" t="str">
        <f aca="false">IF(OR($A190="",$H190&lt;&gt;""),"",Targets!$C$8-$I190)</f>
        <v/>
      </c>
      <c r="N190" s="66" t="str">
        <f aca="false">IF($A190="","",IF(AND($F190="Project",$E190="Active",$M190&lt;&gt;"",$M190&gt;Targets!$C$12),"Yes","No"))</f>
        <v>No</v>
      </c>
      <c r="O190" s="66" t="str">
        <f aca="false">IF($A190="","",IF(AND($G190&gt;=Targets!$C$7,$G190&lt;=Targets!$C$8),"Yes","No"))</f>
        <v>No</v>
      </c>
      <c r="P190" s="66" t="str">
        <f aca="false">IF($A190="","",IF(AND($H190&lt;&gt;"",$H190&gt;=Targets!$C$7,$H190&lt;=Targets!$C$8),"Yes","No"))</f>
        <v>Yes</v>
      </c>
      <c r="Q190" s="66" t="str">
        <f aca="false">IF($A190="","",IF(AND($F190="Project",$E190&lt;&gt;"Closed",$E190&lt;&gt;"Dormant"),"Yes","No"))</f>
        <v>No</v>
      </c>
      <c r="R190" s="66" t="str">
        <f aca="false">IF($A190="","",IF(AND($L190="In-house",OR($E190="Intake",$E190="Active",$E190="Waiting")),"Yes","No"))</f>
        <v>No</v>
      </c>
      <c r="S190" s="66" t="str">
        <f aca="false">IF($A190="","",$C190&amp;" | "&amp;$D190)</f>
        <v>Corporate and entity management | Entity dissolved</v>
      </c>
      <c r="T190" s="66" t="str">
        <f aca="false">IF($A190="","",IF(AND($L190="Outside provider",OR($E190="Intake",$E190="Active",$E190="Waiting")),"Yes","No"))</f>
        <v>No</v>
      </c>
    </row>
    <row r="191" customFormat="false" ht="15" hidden="false" customHeight="true" outlineLevel="0" collapsed="false">
      <c r="A191" s="67" t="s">
        <v>801</v>
      </c>
      <c r="B191" s="67" t="s">
        <v>528</v>
      </c>
      <c r="C191" s="67" t="s">
        <v>465</v>
      </c>
      <c r="D191" s="67" t="s">
        <v>466</v>
      </c>
      <c r="E191" s="67" t="str">
        <f aca="false">IF($A191="","",IFERROR(INDEX('Status map'!$D$6:$D$64,MATCH($C191&amp;" | "&amp;$D191,'Status map'!$I$6:$I$64,0)),"Unmapped"))</f>
        <v>Closed</v>
      </c>
      <c r="F191" s="67" t="s">
        <v>448</v>
      </c>
      <c r="G191" s="70" t="n">
        <v>45867</v>
      </c>
      <c r="H191" s="70" t="n">
        <v>46037</v>
      </c>
      <c r="I191" s="70" t="n">
        <v>46037</v>
      </c>
      <c r="J191" s="67" t="s">
        <v>449</v>
      </c>
      <c r="K191" s="67" t="s">
        <v>492</v>
      </c>
      <c r="L191" s="67" t="s">
        <v>451</v>
      </c>
      <c r="M191" s="66" t="str">
        <f aca="false">IF(OR($A191="",$H191&lt;&gt;""),"",Targets!$C$8-$I191)</f>
        <v/>
      </c>
      <c r="N191" s="66" t="str">
        <f aca="false">IF($A191="","",IF(AND($F191="Project",$E191="Active",$M191&lt;&gt;"",$M191&gt;Targets!$C$12),"Yes","No"))</f>
        <v>No</v>
      </c>
      <c r="O191" s="66" t="str">
        <f aca="false">IF($A191="","",IF(AND($G191&gt;=Targets!$C$7,$G191&lt;=Targets!$C$8),"Yes","No"))</f>
        <v>No</v>
      </c>
      <c r="P191" s="66" t="str">
        <f aca="false">IF($A191="","",IF(AND($H191&lt;&gt;"",$H191&gt;=Targets!$C$7,$H191&lt;=Targets!$C$8),"Yes","No"))</f>
        <v>No</v>
      </c>
      <c r="Q191" s="66" t="str">
        <f aca="false">IF($A191="","",IF(AND($F191="Project",$E191&lt;&gt;"Closed",$E191&lt;&gt;"Dormant"),"Yes","No"))</f>
        <v>No</v>
      </c>
      <c r="R191" s="66" t="str">
        <f aca="false">IF($A191="","",IF(AND($L191="In-house",OR($E191="Intake",$E191="Active",$E191="Waiting")),"Yes","No"))</f>
        <v>No</v>
      </c>
      <c r="S191" s="66" t="str">
        <f aca="false">IF($A191="","",$C191&amp;" | "&amp;$D191)</f>
        <v>Immigration and visas | Denied or withdrawn</v>
      </c>
      <c r="T191" s="66" t="str">
        <f aca="false">IF($A191="","",IF(AND($L191="Outside provider",OR($E191="Intake",$E191="Active",$E191="Waiting")),"Yes","No"))</f>
        <v>No</v>
      </c>
    </row>
    <row r="192" customFormat="false" ht="15" hidden="false" customHeight="true" outlineLevel="0" collapsed="false">
      <c r="A192" s="63" t="s">
        <v>415</v>
      </c>
      <c r="B192" s="63" t="s">
        <v>802</v>
      </c>
      <c r="C192" s="63" t="s">
        <v>446</v>
      </c>
      <c r="D192" s="63" t="s">
        <v>563</v>
      </c>
      <c r="E192" s="63" t="str">
        <f aca="false">IF($A192="","",IFERROR(INDEX('Status map'!$D$6:$D$64,MATCH($C192&amp;" | "&amp;$D192,'Status map'!$I$6:$I$64,0)),"Unmapped"))</f>
        <v>Waiting</v>
      </c>
      <c r="F192" s="63" t="s">
        <v>448</v>
      </c>
      <c r="G192" s="69" t="n">
        <v>46252</v>
      </c>
      <c r="H192" s="69"/>
      <c r="I192" s="69" t="n">
        <v>46249</v>
      </c>
      <c r="J192" s="63" t="s">
        <v>462</v>
      </c>
      <c r="K192" s="63" t="s">
        <v>492</v>
      </c>
      <c r="L192" s="63" t="s">
        <v>451</v>
      </c>
      <c r="M192" s="66" t="n">
        <f aca="false">IF(OR($A192="",$H192&lt;&gt;""),"",Targets!$C$8-$I192)</f>
        <v>16</v>
      </c>
      <c r="N192" s="66" t="str">
        <f aca="false">IF($A192="","",IF(AND($F192="Project",$E192="Active",$M192&lt;&gt;"",$M192&gt;Targets!$C$12),"Yes","No"))</f>
        <v>No</v>
      </c>
      <c r="O192" s="66" t="str">
        <f aca="false">IF($A192="","",IF(AND($G192&gt;=Targets!$C$7,$G192&lt;=Targets!$C$8),"Yes","No"))</f>
        <v>Yes</v>
      </c>
      <c r="P192" s="66" t="str">
        <f aca="false">IF($A192="","",IF(AND($H192&lt;&gt;"",$H192&gt;=Targets!$C$7,$H192&lt;=Targets!$C$8),"Yes","No"))</f>
        <v>No</v>
      </c>
      <c r="Q192" s="66" t="str">
        <f aca="false">IF($A192="","",IF(AND($F192="Project",$E192&lt;&gt;"Closed",$E192&lt;&gt;"Dormant"),"Yes","No"))</f>
        <v>Yes</v>
      </c>
      <c r="R192" s="66" t="str">
        <f aca="false">IF($A192="","",IF(AND($L192="In-house",OR($E192="Intake",$E192="Active",$E192="Waiting")),"Yes","No"))</f>
        <v>Yes</v>
      </c>
      <c r="S192" s="66" t="str">
        <f aca="false">IF($A192="","",$C192&amp;" | "&amp;$D192)</f>
        <v>Employment | Awaiting the employee, an agency, or outside counsel</v>
      </c>
      <c r="T192" s="66" t="str">
        <f aca="false">IF($A192="","",IF(AND($L192="Outside provider",OR($E192="Intake",$E192="Active",$E192="Waiting")),"Yes","No"))</f>
        <v>No</v>
      </c>
    </row>
    <row r="193" customFormat="false" ht="15" hidden="false" customHeight="true" outlineLevel="0" collapsed="false">
      <c r="A193" s="67" t="s">
        <v>803</v>
      </c>
      <c r="B193" s="67" t="s">
        <v>804</v>
      </c>
      <c r="C193" s="67" t="s">
        <v>487</v>
      </c>
      <c r="D193" s="67" t="s">
        <v>636</v>
      </c>
      <c r="E193" s="67" t="str">
        <f aca="false">IF($A193="","",IFERROR(INDEX('Status map'!$D$6:$D$64,MATCH($C193&amp;" | "&amp;$D193,'Status map'!$I$6:$I$64,0)),"Unmapped"))</f>
        <v>Active</v>
      </c>
      <c r="F193" s="67" t="s">
        <v>482</v>
      </c>
      <c r="G193" s="70" t="n">
        <v>46131</v>
      </c>
      <c r="H193" s="70"/>
      <c r="I193" s="70" t="n">
        <v>46250</v>
      </c>
      <c r="J193" s="67" t="s">
        <v>474</v>
      </c>
      <c r="K193" s="67" t="s">
        <v>456</v>
      </c>
      <c r="L193" s="67" t="s">
        <v>451</v>
      </c>
      <c r="M193" s="66" t="n">
        <f aca="false">IF(OR($A193="",$H193&lt;&gt;""),"",Targets!$C$8-$I193)</f>
        <v>15</v>
      </c>
      <c r="N193" s="66" t="str">
        <f aca="false">IF($A193="","",IF(AND($F193="Project",$E193="Active",$M193&lt;&gt;"",$M193&gt;Targets!$C$12),"Yes","No"))</f>
        <v>No</v>
      </c>
      <c r="O193" s="66" t="str">
        <f aca="false">IF($A193="","",IF(AND($G193&gt;=Targets!$C$7,$G193&lt;=Targets!$C$8),"Yes","No"))</f>
        <v>No</v>
      </c>
      <c r="P193" s="66" t="str">
        <f aca="false">IF($A193="","",IF(AND($H193&lt;&gt;"",$H193&gt;=Targets!$C$7,$H193&lt;=Targets!$C$8),"Yes","No"))</f>
        <v>No</v>
      </c>
      <c r="Q193" s="66" t="str">
        <f aca="false">IF($A193="","",IF(AND($F193="Project",$E193&lt;&gt;"Closed",$E193&lt;&gt;"Dormant"),"Yes","No"))</f>
        <v>No</v>
      </c>
      <c r="R193" s="66" t="str">
        <f aca="false">IF($A193="","",IF(AND($L193="In-house",OR($E193="Intake",$E193="Active",$E193="Waiting")),"Yes","No"))</f>
        <v>Yes</v>
      </c>
      <c r="S193" s="66" t="str">
        <f aca="false">IF($A193="","",$C193&amp;" | "&amp;$D193)</f>
        <v>Corporate and entity management | Formation, change, or dissolution in progress</v>
      </c>
      <c r="T193" s="66" t="str">
        <f aca="false">IF($A193="","",IF(AND($L193="Outside provider",OR($E193="Intake",$E193="Active",$E193="Waiting")),"Yes","No"))</f>
        <v>No</v>
      </c>
    </row>
    <row r="194" customFormat="false" ht="15" hidden="false" customHeight="true" outlineLevel="0" collapsed="false">
      <c r="A194" s="63" t="s">
        <v>805</v>
      </c>
      <c r="B194" s="63" t="s">
        <v>581</v>
      </c>
      <c r="C194" s="63" t="s">
        <v>446</v>
      </c>
      <c r="D194" s="63" t="s">
        <v>447</v>
      </c>
      <c r="E194" s="63" t="str">
        <f aca="false">IF($A194="","",IFERROR(INDEX('Status map'!$D$6:$D$64,MATCH($C194&amp;" | "&amp;$D194,'Status map'!$I$6:$I$64,0)),"Unmapped"))</f>
        <v>Intake</v>
      </c>
      <c r="F194" s="63" t="s">
        <v>482</v>
      </c>
      <c r="G194" s="69" t="n">
        <v>46091</v>
      </c>
      <c r="H194" s="69"/>
      <c r="I194" s="69" t="n">
        <v>46259</v>
      </c>
      <c r="J194" s="63" t="s">
        <v>492</v>
      </c>
      <c r="K194" s="63" t="s">
        <v>461</v>
      </c>
      <c r="L194" s="63" t="s">
        <v>451</v>
      </c>
      <c r="M194" s="66" t="n">
        <f aca="false">IF(OR($A194="",$H194&lt;&gt;""),"",Targets!$C$8-$I194)</f>
        <v>6</v>
      </c>
      <c r="N194" s="66" t="str">
        <f aca="false">IF($A194="","",IF(AND($F194="Project",$E194="Active",$M194&lt;&gt;"",$M194&gt;Targets!$C$12),"Yes","No"))</f>
        <v>No</v>
      </c>
      <c r="O194" s="66" t="str">
        <f aca="false">IF($A194="","",IF(AND($G194&gt;=Targets!$C$7,$G194&lt;=Targets!$C$8),"Yes","No"))</f>
        <v>No</v>
      </c>
      <c r="P194" s="66" t="str">
        <f aca="false">IF($A194="","",IF(AND($H194&lt;&gt;"",$H194&gt;=Targets!$C$7,$H194&lt;=Targets!$C$8),"Yes","No"))</f>
        <v>No</v>
      </c>
      <c r="Q194" s="66" t="str">
        <f aca="false">IF($A194="","",IF(AND($F194="Project",$E194&lt;&gt;"Closed",$E194&lt;&gt;"Dormant"),"Yes","No"))</f>
        <v>No</v>
      </c>
      <c r="R194" s="66" t="str">
        <f aca="false">IF($A194="","",IF(AND($L194="In-house",OR($E194="Intake",$E194="Active",$E194="Waiting")),"Yes","No"))</f>
        <v>Yes</v>
      </c>
      <c r="S194" s="66" t="str">
        <f aca="false">IF($A194="","",$C194&amp;" | "&amp;$D194)</f>
        <v>Employment | Complaint or claim received</v>
      </c>
      <c r="T194" s="66" t="str">
        <f aca="false">IF($A194="","",IF(AND($L194="Outside provider",OR($E194="Intake",$E194="Active",$E194="Waiting")),"Yes","No"))</f>
        <v>No</v>
      </c>
    </row>
    <row r="195" customFormat="false" ht="15" hidden="false" customHeight="true" outlineLevel="0" collapsed="false">
      <c r="A195" s="67" t="s">
        <v>298</v>
      </c>
      <c r="B195" s="67" t="s">
        <v>806</v>
      </c>
      <c r="C195" s="67" t="s">
        <v>446</v>
      </c>
      <c r="D195" s="67" t="s">
        <v>563</v>
      </c>
      <c r="E195" s="67" t="str">
        <f aca="false">IF($A195="","",IFERROR(INDEX('Status map'!$D$6:$D$64,MATCH($C195&amp;" | "&amp;$D195,'Status map'!$I$6:$I$64,0)),"Unmapped"))</f>
        <v>Waiting</v>
      </c>
      <c r="F195" s="67" t="s">
        <v>448</v>
      </c>
      <c r="G195" s="70" t="n">
        <v>46262</v>
      </c>
      <c r="H195" s="70"/>
      <c r="I195" s="70" t="n">
        <v>46247</v>
      </c>
      <c r="J195" s="67" t="s">
        <v>462</v>
      </c>
      <c r="K195" s="67" t="s">
        <v>450</v>
      </c>
      <c r="L195" s="67" t="s">
        <v>451</v>
      </c>
      <c r="M195" s="66" t="n">
        <f aca="false">IF(OR($A195="",$H195&lt;&gt;""),"",Targets!$C$8-$I195)</f>
        <v>18</v>
      </c>
      <c r="N195" s="66" t="str">
        <f aca="false">IF($A195="","",IF(AND($F195="Project",$E195="Active",$M195&lt;&gt;"",$M195&gt;Targets!$C$12),"Yes","No"))</f>
        <v>No</v>
      </c>
      <c r="O195" s="66" t="str">
        <f aca="false">IF($A195="","",IF(AND($G195&gt;=Targets!$C$7,$G195&lt;=Targets!$C$8),"Yes","No"))</f>
        <v>Yes</v>
      </c>
      <c r="P195" s="66" t="str">
        <f aca="false">IF($A195="","",IF(AND($H195&lt;&gt;"",$H195&gt;=Targets!$C$7,$H195&lt;=Targets!$C$8),"Yes","No"))</f>
        <v>No</v>
      </c>
      <c r="Q195" s="66" t="str">
        <f aca="false">IF($A195="","",IF(AND($F195="Project",$E195&lt;&gt;"Closed",$E195&lt;&gt;"Dormant"),"Yes","No"))</f>
        <v>Yes</v>
      </c>
      <c r="R195" s="66" t="str">
        <f aca="false">IF($A195="","",IF(AND($L195="In-house",OR($E195="Intake",$E195="Active",$E195="Waiting")),"Yes","No"))</f>
        <v>Yes</v>
      </c>
      <c r="S195" s="66" t="str">
        <f aca="false">IF($A195="","",$C195&amp;" | "&amp;$D195)</f>
        <v>Employment | Awaiting the employee, an agency, or outside counsel</v>
      </c>
      <c r="T195" s="66" t="str">
        <f aca="false">IF($A195="","",IF(AND($L195="Outside provider",OR($E195="Intake",$E195="Active",$E195="Waiting")),"Yes","No"))</f>
        <v>No</v>
      </c>
    </row>
    <row r="196" customFormat="false" ht="15" hidden="false" customHeight="true" outlineLevel="0" collapsed="false">
      <c r="A196" s="63" t="s">
        <v>279</v>
      </c>
      <c r="B196" s="63" t="s">
        <v>516</v>
      </c>
      <c r="C196" s="63" t="s">
        <v>501</v>
      </c>
      <c r="D196" s="63" t="s">
        <v>502</v>
      </c>
      <c r="E196" s="63" t="str">
        <f aca="false">IF($A196="","",IFERROR(INDEX('Status map'!$D$6:$D$64,MATCH($C196&amp;" | "&amp;$D196,'Status map'!$I$6:$I$64,0)),"Unmapped"))</f>
        <v>Closed</v>
      </c>
      <c r="F196" s="63" t="s">
        <v>448</v>
      </c>
      <c r="G196" s="69" t="n">
        <v>46244</v>
      </c>
      <c r="H196" s="69" t="n">
        <v>46260</v>
      </c>
      <c r="I196" s="69" t="n">
        <v>46260</v>
      </c>
      <c r="J196" s="63" t="s">
        <v>462</v>
      </c>
      <c r="K196" s="63" t="s">
        <v>470</v>
      </c>
      <c r="L196" s="63" t="s">
        <v>451</v>
      </c>
      <c r="M196" s="66" t="str">
        <f aca="false">IF(OR($A196="",$H196&lt;&gt;""),"",Targets!$C$8-$I196)</f>
        <v/>
      </c>
      <c r="N196" s="66" t="str">
        <f aca="false">IF($A196="","",IF(AND($F196="Project",$E196="Active",$M196&lt;&gt;"",$M196&gt;Targets!$C$12),"Yes","No"))</f>
        <v>No</v>
      </c>
      <c r="O196" s="66" t="str">
        <f aca="false">IF($A196="","",IF(AND($G196&gt;=Targets!$C$7,$G196&lt;=Targets!$C$8),"Yes","No"))</f>
        <v>Yes</v>
      </c>
      <c r="P196" s="66" t="str">
        <f aca="false">IF($A196="","",IF(AND($H196&lt;&gt;"",$H196&gt;=Targets!$C$7,$H196&lt;=Targets!$C$8),"Yes","No"))</f>
        <v>Yes</v>
      </c>
      <c r="Q196" s="66" t="str">
        <f aca="false">IF($A196="","",IF(AND($F196="Project",$E196&lt;&gt;"Closed",$E196&lt;&gt;"Dormant"),"Yes","No"))</f>
        <v>No</v>
      </c>
      <c r="R196" s="66" t="str">
        <f aca="false">IF($A196="","",IF(AND($L196="In-house",OR($E196="Intake",$E196="Active",$E196="Waiting")),"Yes","No"))</f>
        <v>No</v>
      </c>
      <c r="S196" s="66" t="str">
        <f aca="false">IF($A196="","",$C196&amp;" | "&amp;$D196)</f>
        <v>M&amp;A and corporate deals | Deal closed</v>
      </c>
      <c r="T196" s="66" t="str">
        <f aca="false">IF($A196="","",IF(AND($L196="Outside provider",OR($E196="Intake",$E196="Active",$E196="Waiting")),"Yes","No"))</f>
        <v>No</v>
      </c>
    </row>
    <row r="197" customFormat="false" ht="15" hidden="false" customHeight="true" outlineLevel="0" collapsed="false">
      <c r="A197" s="67" t="s">
        <v>302</v>
      </c>
      <c r="B197" s="67" t="s">
        <v>807</v>
      </c>
      <c r="C197" s="67" t="s">
        <v>459</v>
      </c>
      <c r="D197" s="67" t="s">
        <v>460</v>
      </c>
      <c r="E197" s="67" t="str">
        <f aca="false">IF($A197="","",IFERROR(INDEX('Status map'!$D$6:$D$64,MATCH($C197&amp;" | "&amp;$D197,'Status map'!$I$6:$I$64,0)),"Unmapped"))</f>
        <v>Waiting</v>
      </c>
      <c r="F197" s="67" t="s">
        <v>448</v>
      </c>
      <c r="G197" s="70" t="n">
        <v>46260</v>
      </c>
      <c r="H197" s="70"/>
      <c r="I197" s="70" t="n">
        <v>46254</v>
      </c>
      <c r="J197" s="67" t="s">
        <v>462</v>
      </c>
      <c r="K197" s="67" t="s">
        <v>492</v>
      </c>
      <c r="L197" s="67" t="s">
        <v>451</v>
      </c>
      <c r="M197" s="66" t="n">
        <f aca="false">IF(OR($A197="",$H197&lt;&gt;""),"",Targets!$C$8-$I197)</f>
        <v>11</v>
      </c>
      <c r="N197" s="66" t="str">
        <f aca="false">IF($A197="","",IF(AND($F197="Project",$E197="Active",$M197&lt;&gt;"",$M197&gt;Targets!$C$12),"Yes","No"))</f>
        <v>No</v>
      </c>
      <c r="O197" s="66" t="str">
        <f aca="false">IF($A197="","",IF(AND($G197&gt;=Targets!$C$7,$G197&lt;=Targets!$C$8),"Yes","No"))</f>
        <v>Yes</v>
      </c>
      <c r="P197" s="66" t="str">
        <f aca="false">IF($A197="","",IF(AND($H197&lt;&gt;"",$H197&gt;=Targets!$C$7,$H197&lt;=Targets!$C$8),"Yes","No"))</f>
        <v>No</v>
      </c>
      <c r="Q197" s="66" t="str">
        <f aca="false">IF($A197="","",IF(AND($F197="Project",$E197&lt;&gt;"Closed",$E197&lt;&gt;"Dormant"),"Yes","No"))</f>
        <v>Yes</v>
      </c>
      <c r="R197" s="66" t="str">
        <f aca="false">IF($A197="","",IF(AND($L197="In-house",OR($E197="Intake",$E197="Active",$E197="Waiting")),"Yes","No"))</f>
        <v>Yes</v>
      </c>
      <c r="S197" s="66" t="str">
        <f aca="false">IF($A197="","",$C197&amp;" | "&amp;$D197)</f>
        <v>Contracts | Out for signature or awaiting the counterparty</v>
      </c>
      <c r="T197" s="66" t="str">
        <f aca="false">IF($A197="","",IF(AND($L197="Outside provider",OR($E197="Intake",$E197="Active",$E197="Waiting")),"Yes","No"))</f>
        <v>No</v>
      </c>
    </row>
    <row r="198" customFormat="false" ht="15" hidden="false" customHeight="true" outlineLevel="0" collapsed="false">
      <c r="A198" s="63" t="s">
        <v>808</v>
      </c>
      <c r="B198" s="63" t="s">
        <v>809</v>
      </c>
      <c r="C198" s="63" t="s">
        <v>446</v>
      </c>
      <c r="D198" s="63" t="s">
        <v>473</v>
      </c>
      <c r="E198" s="63" t="str">
        <f aca="false">IF($A198="","",IFERROR(INDEX('Status map'!$D$6:$D$64,MATCH($C198&amp;" | "&amp;$D198,'Status map'!$I$6:$I$64,0)),"Unmapped"))</f>
        <v>Closed</v>
      </c>
      <c r="F198" s="63" t="s">
        <v>482</v>
      </c>
      <c r="G198" s="69" t="n">
        <v>46139</v>
      </c>
      <c r="H198" s="69" t="n">
        <v>46251</v>
      </c>
      <c r="I198" s="69" t="n">
        <v>46251</v>
      </c>
      <c r="J198" s="63" t="s">
        <v>449</v>
      </c>
      <c r="K198" s="63" t="s">
        <v>492</v>
      </c>
      <c r="L198" s="63" t="s">
        <v>451</v>
      </c>
      <c r="M198" s="66" t="str">
        <f aca="false">IF(OR($A198="",$H198&lt;&gt;""),"",Targets!$C$8-$I198)</f>
        <v/>
      </c>
      <c r="N198" s="66" t="str">
        <f aca="false">IF($A198="","",IF(AND($F198="Project",$E198="Active",$M198&lt;&gt;"",$M198&gt;Targets!$C$12),"Yes","No"))</f>
        <v>No</v>
      </c>
      <c r="O198" s="66" t="str">
        <f aca="false">IF($A198="","",IF(AND($G198&gt;=Targets!$C$7,$G198&lt;=Targets!$C$8),"Yes","No"))</f>
        <v>No</v>
      </c>
      <c r="P198" s="66" t="str">
        <f aca="false">IF($A198="","",IF(AND($H198&lt;&gt;"",$H198&gt;=Targets!$C$7,$H198&lt;=Targets!$C$8),"Yes","No"))</f>
        <v>Yes</v>
      </c>
      <c r="Q198" s="66" t="str">
        <f aca="false">IF($A198="","",IF(AND($F198="Project",$E198&lt;&gt;"Closed",$E198&lt;&gt;"Dormant"),"Yes","No"))</f>
        <v>No</v>
      </c>
      <c r="R198" s="66" t="str">
        <f aca="false">IF($A198="","",IF(AND($L198="In-house",OR($E198="Intake",$E198="Active",$E198="Waiting")),"Yes","No"))</f>
        <v>No</v>
      </c>
      <c r="S198" s="66" t="str">
        <f aca="false">IF($A198="","",$C198&amp;" | "&amp;$D198)</f>
        <v>Employment | Resolved or closed</v>
      </c>
      <c r="T198" s="66" t="str">
        <f aca="false">IF($A198="","",IF(AND($L198="Outside provider",OR($E198="Intake",$E198="Active",$E198="Waiting")),"Yes","No"))</f>
        <v>No</v>
      </c>
    </row>
    <row r="199" customFormat="false" ht="15" hidden="false" customHeight="true" outlineLevel="0" collapsed="false">
      <c r="A199" s="67" t="s">
        <v>290</v>
      </c>
      <c r="B199" s="67" t="s">
        <v>810</v>
      </c>
      <c r="C199" s="67" t="s">
        <v>465</v>
      </c>
      <c r="D199" s="67" t="s">
        <v>469</v>
      </c>
      <c r="E199" s="67" t="str">
        <f aca="false">IF($A199="","",IFERROR(INDEX('Status map'!$D$6:$D$64,MATCH($C199&amp;" | "&amp;$D199,'Status map'!$I$6:$I$64,0)),"Unmapped"))</f>
        <v>Active</v>
      </c>
      <c r="F199" s="67" t="s">
        <v>448</v>
      </c>
      <c r="G199" s="70" t="n">
        <v>46242</v>
      </c>
      <c r="H199" s="70"/>
      <c r="I199" s="70" t="n">
        <v>46243</v>
      </c>
      <c r="J199" s="67" t="s">
        <v>449</v>
      </c>
      <c r="K199" s="67" t="s">
        <v>492</v>
      </c>
      <c r="L199" s="67" t="s">
        <v>451</v>
      </c>
      <c r="M199" s="66" t="n">
        <f aca="false">IF(OR($A199="",$H199&lt;&gt;""),"",Targets!$C$8-$I199)</f>
        <v>22</v>
      </c>
      <c r="N199" s="66" t="str">
        <f aca="false">IF($A199="","",IF(AND($F199="Project",$E199="Active",$M199&lt;&gt;"",$M199&gt;Targets!$C$12),"Yes","No"))</f>
        <v>No</v>
      </c>
      <c r="O199" s="66" t="str">
        <f aca="false">IF($A199="","",IF(AND($G199&gt;=Targets!$C$7,$G199&lt;=Targets!$C$8),"Yes","No"))</f>
        <v>Yes</v>
      </c>
      <c r="P199" s="66" t="str">
        <f aca="false">IF($A199="","",IF(AND($H199&lt;&gt;"",$H199&gt;=Targets!$C$7,$H199&lt;=Targets!$C$8),"Yes","No"))</f>
        <v>No</v>
      </c>
      <c r="Q199" s="66" t="str">
        <f aca="false">IF($A199="","",IF(AND($F199="Project",$E199&lt;&gt;"Closed",$E199&lt;&gt;"Dormant"),"Yes","No"))</f>
        <v>Yes</v>
      </c>
      <c r="R199" s="66" t="str">
        <f aca="false">IF($A199="","",IF(AND($L199="In-house",OR($E199="Intake",$E199="Active",$E199="Waiting")),"Yes","No"))</f>
        <v>Yes</v>
      </c>
      <c r="S199" s="66" t="str">
        <f aca="false">IF($A199="","",$C199&amp;" | "&amp;$D199)</f>
        <v>Immigration and visas | Petition or an evidence response being prepared</v>
      </c>
      <c r="T199" s="66" t="str">
        <f aca="false">IF($A199="","",IF(AND($L199="Outside provider",OR($E199="Intake",$E199="Active",$E199="Waiting")),"Yes","No"))</f>
        <v>No</v>
      </c>
    </row>
    <row r="200" customFormat="false" ht="15" hidden="false" customHeight="true" outlineLevel="0" collapsed="false">
      <c r="A200" s="63" t="s">
        <v>811</v>
      </c>
      <c r="B200" s="63" t="s">
        <v>812</v>
      </c>
      <c r="C200" s="63" t="s">
        <v>465</v>
      </c>
      <c r="D200" s="63" t="s">
        <v>509</v>
      </c>
      <c r="E200" s="63" t="str">
        <f aca="false">IF($A200="","",IFERROR(INDEX('Status map'!$D$6:$D$64,MATCH($C200&amp;" | "&amp;$D200,'Status map'!$I$6:$I$64,0)),"Unmapped"))</f>
        <v>Dormant</v>
      </c>
      <c r="F200" s="63" t="s">
        <v>510</v>
      </c>
      <c r="G200" s="69" t="n">
        <v>45946</v>
      </c>
      <c r="H200" s="69"/>
      <c r="I200" s="69" t="n">
        <v>45967</v>
      </c>
      <c r="J200" s="63" t="s">
        <v>492</v>
      </c>
      <c r="K200" s="63" t="s">
        <v>456</v>
      </c>
      <c r="L200" s="63" t="s">
        <v>451</v>
      </c>
      <c r="M200" s="66" t="n">
        <f aca="false">IF(OR($A200="",$H200&lt;&gt;""),"",Targets!$C$8-$I200)</f>
        <v>298</v>
      </c>
      <c r="N200" s="66" t="str">
        <f aca="false">IF($A200="","",IF(AND($F200="Project",$E200="Active",$M200&lt;&gt;"",$M200&gt;Targets!$C$12),"Yes","No"))</f>
        <v>No</v>
      </c>
      <c r="O200" s="66" t="str">
        <f aca="false">IF($A200="","",IF(AND($G200&gt;=Targets!$C$7,$G200&lt;=Targets!$C$8),"Yes","No"))</f>
        <v>No</v>
      </c>
      <c r="P200" s="66" t="str">
        <f aca="false">IF($A200="","",IF(AND($H200&lt;&gt;"",$H200&gt;=Targets!$C$7,$H200&lt;=Targets!$C$8),"Yes","No"))</f>
        <v>No</v>
      </c>
      <c r="Q200" s="66" t="str">
        <f aca="false">IF($A200="","",IF(AND($F200="Project",$E200&lt;&gt;"Closed",$E200&lt;&gt;"Dormant"),"Yes","No"))</f>
        <v>No</v>
      </c>
      <c r="R200" s="66" t="str">
        <f aca="false">IF($A200="","",IF(AND($L200="In-house",OR($E200="Intake",$E200="Active",$E200="Waiting")),"Yes","No"))</f>
        <v>No</v>
      </c>
      <c r="S200" s="66" t="str">
        <f aca="false">IF($A200="","",$C200&amp;" | "&amp;$D200)</f>
        <v>Immigration and visas | Approved, renewal window tracked</v>
      </c>
      <c r="T200" s="66" t="str">
        <f aca="false">IF($A200="","",IF(AND($L200="Outside provider",OR($E200="Intake",$E200="Active",$E200="Waiting")),"Yes","No"))</f>
        <v>No</v>
      </c>
    </row>
    <row r="201" customFormat="false" ht="15" hidden="false" customHeight="true" outlineLevel="0" collapsed="false">
      <c r="A201" s="67" t="s">
        <v>813</v>
      </c>
      <c r="B201" s="67" t="s">
        <v>814</v>
      </c>
      <c r="C201" s="67" t="s">
        <v>487</v>
      </c>
      <c r="D201" s="67" t="s">
        <v>636</v>
      </c>
      <c r="E201" s="67" t="str">
        <f aca="false">IF($A201="","",IFERROR(INDEX('Status map'!$D$6:$D$64,MATCH($C201&amp;" | "&amp;$D201,'Status map'!$I$6:$I$64,0)),"Unmapped"))</f>
        <v>Active</v>
      </c>
      <c r="F201" s="67" t="s">
        <v>482</v>
      </c>
      <c r="G201" s="70" t="n">
        <v>46104</v>
      </c>
      <c r="H201" s="70"/>
      <c r="I201" s="70" t="n">
        <v>46246</v>
      </c>
      <c r="J201" s="67" t="s">
        <v>449</v>
      </c>
      <c r="K201" s="67" t="s">
        <v>461</v>
      </c>
      <c r="L201" s="67" t="s">
        <v>451</v>
      </c>
      <c r="M201" s="66" t="n">
        <f aca="false">IF(OR($A201="",$H201&lt;&gt;""),"",Targets!$C$8-$I201)</f>
        <v>19</v>
      </c>
      <c r="N201" s="66" t="str">
        <f aca="false">IF($A201="","",IF(AND($F201="Project",$E201="Active",$M201&lt;&gt;"",$M201&gt;Targets!$C$12),"Yes","No"))</f>
        <v>No</v>
      </c>
      <c r="O201" s="66" t="str">
        <f aca="false">IF($A201="","",IF(AND($G201&gt;=Targets!$C$7,$G201&lt;=Targets!$C$8),"Yes","No"))</f>
        <v>No</v>
      </c>
      <c r="P201" s="66" t="str">
        <f aca="false">IF($A201="","",IF(AND($H201&lt;&gt;"",$H201&gt;=Targets!$C$7,$H201&lt;=Targets!$C$8),"Yes","No"))</f>
        <v>No</v>
      </c>
      <c r="Q201" s="66" t="str">
        <f aca="false">IF($A201="","",IF(AND($F201="Project",$E201&lt;&gt;"Closed",$E201&lt;&gt;"Dormant"),"Yes","No"))</f>
        <v>No</v>
      </c>
      <c r="R201" s="66" t="str">
        <f aca="false">IF($A201="","",IF(AND($L201="In-house",OR($E201="Intake",$E201="Active",$E201="Waiting")),"Yes","No"))</f>
        <v>Yes</v>
      </c>
      <c r="S201" s="66" t="str">
        <f aca="false">IF($A201="","",$C201&amp;" | "&amp;$D201)</f>
        <v>Corporate and entity management | Formation, change, or dissolution in progress</v>
      </c>
      <c r="T201" s="66" t="str">
        <f aca="false">IF($A201="","",IF(AND($L201="Outside provider",OR($E201="Intake",$E201="Active",$E201="Waiting")),"Yes","No"))</f>
        <v>No</v>
      </c>
    </row>
    <row r="202" customFormat="false" ht="15" hidden="false" customHeight="true" outlineLevel="0" collapsed="false">
      <c r="A202" s="63" t="s">
        <v>296</v>
      </c>
      <c r="B202" s="63" t="s">
        <v>815</v>
      </c>
      <c r="C202" s="63" t="s">
        <v>454</v>
      </c>
      <c r="D202" s="63" t="s">
        <v>522</v>
      </c>
      <c r="E202" s="63" t="str">
        <f aca="false">IF($A202="","",IFERROR(INDEX('Status map'!$D$6:$D$64,MATCH($C202&amp;" | "&amp;$D202,'Status map'!$I$6:$I$64,0)),"Unmapped"))</f>
        <v>Waiting</v>
      </c>
      <c r="F202" s="63" t="s">
        <v>448</v>
      </c>
      <c r="G202" s="69" t="n">
        <v>46240</v>
      </c>
      <c r="H202" s="69"/>
      <c r="I202" s="69" t="n">
        <v>46242</v>
      </c>
      <c r="J202" s="63" t="s">
        <v>449</v>
      </c>
      <c r="K202" s="63" t="s">
        <v>495</v>
      </c>
      <c r="L202" s="63" t="s">
        <v>496</v>
      </c>
      <c r="M202" s="66" t="n">
        <f aca="false">IF(OR($A202="",$H202&lt;&gt;""),"",Targets!$C$8-$I202)</f>
        <v>23</v>
      </c>
      <c r="N202" s="66" t="str">
        <f aca="false">IF($A202="","",IF(AND($F202="Project",$E202="Active",$M202&lt;&gt;"",$M202&gt;Targets!$C$12),"Yes","No"))</f>
        <v>No</v>
      </c>
      <c r="O202" s="66" t="str">
        <f aca="false">IF($A202="","",IF(AND($G202&gt;=Targets!$C$7,$G202&lt;=Targets!$C$8),"Yes","No"))</f>
        <v>Yes</v>
      </c>
      <c r="P202" s="66" t="str">
        <f aca="false">IF($A202="","",IF(AND($H202&lt;&gt;"",$H202&gt;=Targets!$C$7,$H202&lt;=Targets!$C$8),"Yes","No"))</f>
        <v>No</v>
      </c>
      <c r="Q202" s="66" t="str">
        <f aca="false">IF($A202="","",IF(AND($F202="Project",$E202&lt;&gt;"Closed",$E202&lt;&gt;"Dormant"),"Yes","No"))</f>
        <v>Yes</v>
      </c>
      <c r="R202" s="66" t="str">
        <f aca="false">IF($A202="","",IF(AND($L202="In-house",OR($E202="Intake",$E202="Active",$E202="Waiting")),"Yes","No"))</f>
        <v>No</v>
      </c>
      <c r="S202" s="66" t="str">
        <f aca="false">IF($A202="","",$C202&amp;" | "&amp;$D202)</f>
        <v>Litigation | Stayed for a short period</v>
      </c>
      <c r="T202" s="66" t="str">
        <f aca="false">IF($A202="","",IF(AND($L202="Outside provider",OR($E202="Intake",$E202="Active",$E202="Waiting")),"Yes","No"))</f>
        <v>Yes</v>
      </c>
    </row>
    <row r="203" customFormat="false" ht="15" hidden="false" customHeight="true" outlineLevel="0" collapsed="false">
      <c r="A203" s="67" t="s">
        <v>816</v>
      </c>
      <c r="B203" s="67" t="s">
        <v>817</v>
      </c>
      <c r="C203" s="67" t="s">
        <v>459</v>
      </c>
      <c r="D203" s="67" t="s">
        <v>534</v>
      </c>
      <c r="E203" s="67" t="str">
        <f aca="false">IF($A203="","",IFERROR(INDEX('Status map'!$D$6:$D$64,MATCH($C203&amp;" | "&amp;$D203,'Status map'!$I$6:$I$64,0)),"Unmapped"))</f>
        <v>Dormant</v>
      </c>
      <c r="F203" s="67" t="s">
        <v>510</v>
      </c>
      <c r="G203" s="70" t="n">
        <v>44465</v>
      </c>
      <c r="H203" s="70"/>
      <c r="I203" s="70" t="n">
        <v>46184</v>
      </c>
      <c r="J203" s="67" t="s">
        <v>456</v>
      </c>
      <c r="K203" s="67" t="s">
        <v>492</v>
      </c>
      <c r="L203" s="67" t="s">
        <v>451</v>
      </c>
      <c r="M203" s="66" t="n">
        <f aca="false">IF(OR($A203="",$H203&lt;&gt;""),"",Targets!$C$8-$I203)</f>
        <v>81</v>
      </c>
      <c r="N203" s="66" t="str">
        <f aca="false">IF($A203="","",IF(AND($F203="Project",$E203="Active",$M203&lt;&gt;"",$M203&gt;Targets!$C$12),"Yes","No"))</f>
        <v>No</v>
      </c>
      <c r="O203" s="66" t="str">
        <f aca="false">IF($A203="","",IF(AND($G203&gt;=Targets!$C$7,$G203&lt;=Targets!$C$8),"Yes","No"))</f>
        <v>No</v>
      </c>
      <c r="P203" s="66" t="str">
        <f aca="false">IF($A203="","",IF(AND($H203&lt;&gt;"",$H203&gt;=Targets!$C$7,$H203&lt;=Targets!$C$8),"Yes","No"))</f>
        <v>No</v>
      </c>
      <c r="Q203" s="66" t="str">
        <f aca="false">IF($A203="","",IF(AND($F203="Project",$E203&lt;&gt;"Closed",$E203&lt;&gt;"Dormant"),"Yes","No"))</f>
        <v>No</v>
      </c>
      <c r="R203" s="66" t="str">
        <f aca="false">IF($A203="","",IF(AND($L203="In-house",OR($E203="Intake",$E203="Active",$E203="Waiting")),"Yes","No"))</f>
        <v>No</v>
      </c>
      <c r="S203" s="66" t="str">
        <f aca="false">IF($A203="","",$C203&amp;" | "&amp;$D203)</f>
        <v>Contracts | Standing agreement tracked for renewal</v>
      </c>
      <c r="T203" s="66" t="str">
        <f aca="false">IF($A203="","",IF(AND($L203="Outside provider",OR($E203="Intake",$E203="Active",$E203="Waiting")),"Yes","No"))</f>
        <v>No</v>
      </c>
    </row>
    <row r="204" customFormat="false" ht="15" hidden="false" customHeight="true" outlineLevel="0" collapsed="false">
      <c r="A204" s="63" t="s">
        <v>818</v>
      </c>
      <c r="B204" s="63" t="s">
        <v>765</v>
      </c>
      <c r="C204" s="63" t="s">
        <v>459</v>
      </c>
      <c r="D204" s="63" t="s">
        <v>534</v>
      </c>
      <c r="E204" s="63" t="str">
        <f aca="false">IF($A204="","",IFERROR(INDEX('Status map'!$D$6:$D$64,MATCH($C204&amp;" | "&amp;$D204,'Status map'!$I$6:$I$64,0)),"Unmapped"))</f>
        <v>Dormant</v>
      </c>
      <c r="F204" s="63" t="s">
        <v>510</v>
      </c>
      <c r="G204" s="69" t="n">
        <v>45627</v>
      </c>
      <c r="H204" s="69"/>
      <c r="I204" s="69" t="n">
        <v>46067</v>
      </c>
      <c r="J204" s="63" t="s">
        <v>461</v>
      </c>
      <c r="K204" s="63" t="s">
        <v>461</v>
      </c>
      <c r="L204" s="63" t="s">
        <v>451</v>
      </c>
      <c r="M204" s="66" t="n">
        <f aca="false">IF(OR($A204="",$H204&lt;&gt;""),"",Targets!$C$8-$I204)</f>
        <v>198</v>
      </c>
      <c r="N204" s="66" t="str">
        <f aca="false">IF($A204="","",IF(AND($F204="Project",$E204="Active",$M204&lt;&gt;"",$M204&gt;Targets!$C$12),"Yes","No"))</f>
        <v>No</v>
      </c>
      <c r="O204" s="66" t="str">
        <f aca="false">IF($A204="","",IF(AND($G204&gt;=Targets!$C$7,$G204&lt;=Targets!$C$8),"Yes","No"))</f>
        <v>No</v>
      </c>
      <c r="P204" s="66" t="str">
        <f aca="false">IF($A204="","",IF(AND($H204&lt;&gt;"",$H204&gt;=Targets!$C$7,$H204&lt;=Targets!$C$8),"Yes","No"))</f>
        <v>No</v>
      </c>
      <c r="Q204" s="66" t="str">
        <f aca="false">IF($A204="","",IF(AND($F204="Project",$E204&lt;&gt;"Closed",$E204&lt;&gt;"Dormant"),"Yes","No"))</f>
        <v>No</v>
      </c>
      <c r="R204" s="66" t="str">
        <f aca="false">IF($A204="","",IF(AND($L204="In-house",OR($E204="Intake",$E204="Active",$E204="Waiting")),"Yes","No"))</f>
        <v>No</v>
      </c>
      <c r="S204" s="66" t="str">
        <f aca="false">IF($A204="","",$C204&amp;" | "&amp;$D204)</f>
        <v>Contracts | Standing agreement tracked for renewal</v>
      </c>
      <c r="T204" s="66" t="str">
        <f aca="false">IF($A204="","",IF(AND($L204="Outside provider",OR($E204="Intake",$E204="Active",$E204="Waiting")),"Yes","No"))</f>
        <v>No</v>
      </c>
    </row>
    <row r="205" customFormat="false" ht="15" hidden="false" customHeight="true" outlineLevel="0" collapsed="false">
      <c r="A205" s="67" t="s">
        <v>268</v>
      </c>
      <c r="B205" s="67" t="s">
        <v>819</v>
      </c>
      <c r="C205" s="67" t="s">
        <v>465</v>
      </c>
      <c r="D205" s="67" t="s">
        <v>506</v>
      </c>
      <c r="E205" s="67" t="str">
        <f aca="false">IF($A205="","",IFERROR(INDEX('Status map'!$D$6:$D$64,MATCH($C205&amp;" | "&amp;$D205,'Status map'!$I$6:$I$64,0)),"Unmapped"))</f>
        <v>Intake</v>
      </c>
      <c r="F205" s="67" t="s">
        <v>448</v>
      </c>
      <c r="G205" s="70" t="n">
        <v>46244</v>
      </c>
      <c r="H205" s="70"/>
      <c r="I205" s="70" t="n">
        <v>46247</v>
      </c>
      <c r="J205" s="67" t="s">
        <v>470</v>
      </c>
      <c r="K205" s="67" t="s">
        <v>450</v>
      </c>
      <c r="L205" s="67" t="s">
        <v>451</v>
      </c>
      <c r="M205" s="66" t="n">
        <f aca="false">IF(OR($A205="",$H205&lt;&gt;""),"",Targets!$C$8-$I205)</f>
        <v>18</v>
      </c>
      <c r="N205" s="66" t="str">
        <f aca="false">IF($A205="","",IF(AND($F205="Project",$E205="Active",$M205&lt;&gt;"",$M205&gt;Targets!$C$12),"Yes","No"))</f>
        <v>No</v>
      </c>
      <c r="O205" s="66" t="str">
        <f aca="false">IF($A205="","",IF(AND($G205&gt;=Targets!$C$7,$G205&lt;=Targets!$C$8),"Yes","No"))</f>
        <v>Yes</v>
      </c>
      <c r="P205" s="66" t="str">
        <f aca="false">IF($A205="","",IF(AND($H205&lt;&gt;"",$H205&gt;=Targets!$C$7,$H205&lt;=Targets!$C$8),"Yes","No"))</f>
        <v>No</v>
      </c>
      <c r="Q205" s="66" t="str">
        <f aca="false">IF($A205="","",IF(AND($F205="Project",$E205&lt;&gt;"Closed",$E205&lt;&gt;"Dormant"),"Yes","No"))</f>
        <v>Yes</v>
      </c>
      <c r="R205" s="66" t="str">
        <f aca="false">IF($A205="","",IF(AND($L205="In-house",OR($E205="Intake",$E205="Active",$E205="Waiting")),"Yes","No"))</f>
        <v>Yes</v>
      </c>
      <c r="S205" s="66" t="str">
        <f aca="false">IF($A205="","",$C205&amp;" | "&amp;$D205)</f>
        <v>Immigration and visas | Case opened, gathering documents</v>
      </c>
      <c r="T205" s="66" t="str">
        <f aca="false">IF($A205="","",IF(AND($L205="Outside provider",OR($E205="Intake",$E205="Active",$E205="Waiting")),"Yes","No"))</f>
        <v>No</v>
      </c>
    </row>
    <row r="206" customFormat="false" ht="15" hidden="false" customHeight="true" outlineLevel="0" collapsed="false">
      <c r="A206" s="63" t="s">
        <v>820</v>
      </c>
      <c r="B206" s="63" t="s">
        <v>762</v>
      </c>
      <c r="C206" s="63" t="s">
        <v>501</v>
      </c>
      <c r="D206" s="63" t="s">
        <v>517</v>
      </c>
      <c r="E206" s="63" t="str">
        <f aca="false">IF($A206="","",IFERROR(INDEX('Status map'!$D$6:$D$64,MATCH($C206&amp;" | "&amp;$D206,'Status map'!$I$6:$I$64,0)),"Unmapped"))</f>
        <v>Dormant</v>
      </c>
      <c r="F206" s="63" t="s">
        <v>510</v>
      </c>
      <c r="G206" s="69" t="n">
        <v>45504</v>
      </c>
      <c r="H206" s="69"/>
      <c r="I206" s="69" t="n">
        <v>46098</v>
      </c>
      <c r="J206" s="63" t="s">
        <v>456</v>
      </c>
      <c r="K206" s="63" t="s">
        <v>449</v>
      </c>
      <c r="L206" s="63" t="s">
        <v>451</v>
      </c>
      <c r="M206" s="66" t="n">
        <f aca="false">IF(OR($A206="",$H206&lt;&gt;""),"",Targets!$C$8-$I206)</f>
        <v>167</v>
      </c>
      <c r="N206" s="66" t="str">
        <f aca="false">IF($A206="","",IF(AND($F206="Project",$E206="Active",$M206&lt;&gt;"",$M206&gt;Targets!$C$12),"Yes","No"))</f>
        <v>No</v>
      </c>
      <c r="O206" s="66" t="str">
        <f aca="false">IF($A206="","",IF(AND($G206&gt;=Targets!$C$7,$G206&lt;=Targets!$C$8),"Yes","No"))</f>
        <v>No</v>
      </c>
      <c r="P206" s="66" t="str">
        <f aca="false">IF($A206="","",IF(AND($H206&lt;&gt;"",$H206&gt;=Targets!$C$7,$H206&lt;=Targets!$C$8),"Yes","No"))</f>
        <v>No</v>
      </c>
      <c r="Q206" s="66" t="str">
        <f aca="false">IF($A206="","",IF(AND($F206="Project",$E206&lt;&gt;"Closed",$E206&lt;&gt;"Dormant"),"Yes","No"))</f>
        <v>No</v>
      </c>
      <c r="R206" s="66" t="str">
        <f aca="false">IF($A206="","",IF(AND($L206="In-house",OR($E206="Intake",$E206="Active",$E206="Waiting")),"Yes","No"))</f>
        <v>No</v>
      </c>
      <c r="S206" s="66" t="str">
        <f aca="false">IF($A206="","",$C206&amp;" | "&amp;$D206)</f>
        <v>M&amp;A and corporate deals | Post-closing obligations tracked</v>
      </c>
      <c r="T206" s="66" t="str">
        <f aca="false">IF($A206="","",IF(AND($L206="Outside provider",OR($E206="Intake",$E206="Active",$E206="Waiting")),"Yes","No"))</f>
        <v>No</v>
      </c>
    </row>
    <row r="207" customFormat="false" ht="15" hidden="false" customHeight="true" outlineLevel="0" collapsed="false">
      <c r="A207" s="67" t="s">
        <v>821</v>
      </c>
      <c r="B207" s="67" t="s">
        <v>822</v>
      </c>
      <c r="C207" s="67" t="s">
        <v>487</v>
      </c>
      <c r="D207" s="67" t="s">
        <v>601</v>
      </c>
      <c r="E207" s="67" t="str">
        <f aca="false">IF($A207="","",IFERROR(INDEX('Status map'!$D$6:$D$64,MATCH($C207&amp;" | "&amp;$D207,'Status map'!$I$6:$I$64,0)),"Unmapped"))</f>
        <v>Closed</v>
      </c>
      <c r="F207" s="67" t="s">
        <v>482</v>
      </c>
      <c r="G207" s="70" t="n">
        <v>46018</v>
      </c>
      <c r="H207" s="70" t="n">
        <v>46245</v>
      </c>
      <c r="I207" s="70" t="n">
        <v>46245</v>
      </c>
      <c r="J207" s="67" t="s">
        <v>470</v>
      </c>
      <c r="K207" s="67" t="s">
        <v>462</v>
      </c>
      <c r="L207" s="67" t="s">
        <v>451</v>
      </c>
      <c r="M207" s="66" t="str">
        <f aca="false">IF(OR($A207="",$H207&lt;&gt;""),"",Targets!$C$8-$I207)</f>
        <v/>
      </c>
      <c r="N207" s="66" t="str">
        <f aca="false">IF($A207="","",IF(AND($F207="Project",$E207="Active",$M207&lt;&gt;"",$M207&gt;Targets!$C$12),"Yes","No"))</f>
        <v>No</v>
      </c>
      <c r="O207" s="66" t="str">
        <f aca="false">IF($A207="","",IF(AND($G207&gt;=Targets!$C$7,$G207&lt;=Targets!$C$8),"Yes","No"))</f>
        <v>No</v>
      </c>
      <c r="P207" s="66" t="str">
        <f aca="false">IF($A207="","",IF(AND($H207&lt;&gt;"",$H207&gt;=Targets!$C$7,$H207&lt;=Targets!$C$8),"Yes","No"))</f>
        <v>Yes</v>
      </c>
      <c r="Q207" s="66" t="str">
        <f aca="false">IF($A207="","",IF(AND($F207="Project",$E207&lt;&gt;"Closed",$E207&lt;&gt;"Dormant"),"Yes","No"))</f>
        <v>No</v>
      </c>
      <c r="R207" s="66" t="str">
        <f aca="false">IF($A207="","",IF(AND($L207="In-house",OR($E207="Intake",$E207="Active",$E207="Waiting")),"Yes","No"))</f>
        <v>No</v>
      </c>
      <c r="S207" s="66" t="str">
        <f aca="false">IF($A207="","",$C207&amp;" | "&amp;$D207)</f>
        <v>Corporate and entity management | Entity dissolved</v>
      </c>
      <c r="T207" s="66" t="str">
        <f aca="false">IF($A207="","",IF(AND($L207="Outside provider",OR($E207="Intake",$E207="Active",$E207="Waiting")),"Yes","No"))</f>
        <v>No</v>
      </c>
    </row>
    <row r="208" customFormat="false" ht="15" hidden="false" customHeight="true" outlineLevel="0" collapsed="false">
      <c r="A208" s="63" t="s">
        <v>823</v>
      </c>
      <c r="B208" s="63" t="s">
        <v>824</v>
      </c>
      <c r="C208" s="63" t="s">
        <v>465</v>
      </c>
      <c r="D208" s="63" t="s">
        <v>469</v>
      </c>
      <c r="E208" s="63" t="str">
        <f aca="false">IF($A208="","",IFERROR(INDEX('Status map'!$D$6:$D$64,MATCH($C208&amp;" | "&amp;$D208,'Status map'!$I$6:$I$64,0)),"Unmapped"))</f>
        <v>Active</v>
      </c>
      <c r="F208" s="63" t="s">
        <v>510</v>
      </c>
      <c r="G208" s="69" t="n">
        <v>45023</v>
      </c>
      <c r="H208" s="69"/>
      <c r="I208" s="69" t="n">
        <v>46241</v>
      </c>
      <c r="J208" s="63" t="s">
        <v>492</v>
      </c>
      <c r="K208" s="63" t="s">
        <v>450</v>
      </c>
      <c r="L208" s="63" t="s">
        <v>451</v>
      </c>
      <c r="M208" s="66" t="n">
        <f aca="false">IF(OR($A208="",$H208&lt;&gt;""),"",Targets!$C$8-$I208)</f>
        <v>24</v>
      </c>
      <c r="N208" s="66" t="str">
        <f aca="false">IF($A208="","",IF(AND($F208="Project",$E208="Active",$M208&lt;&gt;"",$M208&gt;Targets!$C$12),"Yes","No"))</f>
        <v>No</v>
      </c>
      <c r="O208" s="66" t="str">
        <f aca="false">IF($A208="","",IF(AND($G208&gt;=Targets!$C$7,$G208&lt;=Targets!$C$8),"Yes","No"))</f>
        <v>No</v>
      </c>
      <c r="P208" s="66" t="str">
        <f aca="false">IF($A208="","",IF(AND($H208&lt;&gt;"",$H208&gt;=Targets!$C$7,$H208&lt;=Targets!$C$8),"Yes","No"))</f>
        <v>No</v>
      </c>
      <c r="Q208" s="66" t="str">
        <f aca="false">IF($A208="","",IF(AND($F208="Project",$E208&lt;&gt;"Closed",$E208&lt;&gt;"Dormant"),"Yes","No"))</f>
        <v>No</v>
      </c>
      <c r="R208" s="66" t="str">
        <f aca="false">IF($A208="","",IF(AND($L208="In-house",OR($E208="Intake",$E208="Active",$E208="Waiting")),"Yes","No"))</f>
        <v>Yes</v>
      </c>
      <c r="S208" s="66" t="str">
        <f aca="false">IF($A208="","",$C208&amp;" | "&amp;$D208)</f>
        <v>Immigration and visas | Petition or an evidence response being prepared</v>
      </c>
      <c r="T208" s="66" t="str">
        <f aca="false">IF($A208="","",IF(AND($L208="Outside provider",OR($E208="Intake",$E208="Active",$E208="Waiting")),"Yes","No"))</f>
        <v>No</v>
      </c>
    </row>
    <row r="209" customFormat="false" ht="15" hidden="false" customHeight="true" outlineLevel="0" collapsed="false">
      <c r="A209" s="67" t="s">
        <v>825</v>
      </c>
      <c r="B209" s="67" t="s">
        <v>826</v>
      </c>
      <c r="C209" s="67" t="s">
        <v>647</v>
      </c>
      <c r="D209" s="67" t="s">
        <v>648</v>
      </c>
      <c r="E209" s="67" t="str">
        <f aca="false">IF($A209="","",IFERROR(INDEX('Status map'!$D$6:$D$64,MATCH($C209&amp;" | "&amp;$D209,'Status map'!$I$6:$I$64,0)),"Unmapped"))</f>
        <v>Dormant</v>
      </c>
      <c r="F209" s="67" t="s">
        <v>510</v>
      </c>
      <c r="G209" s="70" t="n">
        <v>46256</v>
      </c>
      <c r="H209" s="70"/>
      <c r="I209" s="70" t="n">
        <v>46142</v>
      </c>
      <c r="J209" s="67" t="s">
        <v>461</v>
      </c>
      <c r="K209" s="67" t="s">
        <v>470</v>
      </c>
      <c r="L209" s="67" t="s">
        <v>451</v>
      </c>
      <c r="M209" s="66" t="n">
        <f aca="false">IF(OR($A209="",$H209&lt;&gt;""),"",Targets!$C$8-$I209)</f>
        <v>123</v>
      </c>
      <c r="N209" s="66" t="str">
        <f aca="false">IF($A209="","",IF(AND($F209="Project",$E209="Active",$M209&lt;&gt;"",$M209&gt;Targets!$C$12),"Yes","No"))</f>
        <v>No</v>
      </c>
      <c r="O209" s="66" t="str">
        <f aca="false">IF($A209="","",IF(AND($G209&gt;=Targets!$C$7,$G209&lt;=Targets!$C$8),"Yes","No"))</f>
        <v>Yes</v>
      </c>
      <c r="P209" s="66" t="str">
        <f aca="false">IF($A209="","",IF(AND($H209&lt;&gt;"",$H209&gt;=Targets!$C$7,$H209&lt;=Targets!$C$8),"Yes","No"))</f>
        <v>No</v>
      </c>
      <c r="Q209" s="66" t="str">
        <f aca="false">IF($A209="","",IF(AND($F209="Project",$E209&lt;&gt;"Closed",$E209&lt;&gt;"Dormant"),"Yes","No"))</f>
        <v>No</v>
      </c>
      <c r="R209" s="66" t="str">
        <f aca="false">IF($A209="","",IF(AND($L209="In-house",OR($E209="Intake",$E209="Active",$E209="Waiting")),"Yes","No"))</f>
        <v>No</v>
      </c>
      <c r="S209" s="66" t="str">
        <f aca="false">IF($A209="","",$C209&amp;" | "&amp;$D209)</f>
        <v>IP: patents and trademarks | Issued or registered, in maintenance</v>
      </c>
      <c r="T209" s="66" t="str">
        <f aca="false">IF($A209="","",IF(AND($L209="Outside provider",OR($E209="Intake",$E209="Active",$E209="Waiting")),"Yes","No"))</f>
        <v>No</v>
      </c>
    </row>
    <row r="210" customFormat="false" ht="15" hidden="false" customHeight="true" outlineLevel="0" collapsed="false">
      <c r="A210" s="63" t="s">
        <v>347</v>
      </c>
      <c r="B210" s="63" t="s">
        <v>827</v>
      </c>
      <c r="C210" s="63" t="s">
        <v>459</v>
      </c>
      <c r="D210" s="63" t="s">
        <v>460</v>
      </c>
      <c r="E210" s="63" t="str">
        <f aca="false">IF($A210="","",IFERROR(INDEX('Status map'!$D$6:$D$64,MATCH($C210&amp;" | "&amp;$D210,'Status map'!$I$6:$I$64,0)),"Unmapped"))</f>
        <v>Waiting</v>
      </c>
      <c r="F210" s="63" t="s">
        <v>448</v>
      </c>
      <c r="G210" s="69" t="n">
        <v>46261</v>
      </c>
      <c r="H210" s="69"/>
      <c r="I210" s="69" t="n">
        <v>46247</v>
      </c>
      <c r="J210" s="63" t="s">
        <v>450</v>
      </c>
      <c r="K210" s="63" t="s">
        <v>474</v>
      </c>
      <c r="L210" s="63" t="s">
        <v>451</v>
      </c>
      <c r="M210" s="66" t="n">
        <f aca="false">IF(OR($A210="",$H210&lt;&gt;""),"",Targets!$C$8-$I210)</f>
        <v>18</v>
      </c>
      <c r="N210" s="66" t="str">
        <f aca="false">IF($A210="","",IF(AND($F210="Project",$E210="Active",$M210&lt;&gt;"",$M210&gt;Targets!$C$12),"Yes","No"))</f>
        <v>No</v>
      </c>
      <c r="O210" s="66" t="str">
        <f aca="false">IF($A210="","",IF(AND($G210&gt;=Targets!$C$7,$G210&lt;=Targets!$C$8),"Yes","No"))</f>
        <v>Yes</v>
      </c>
      <c r="P210" s="66" t="str">
        <f aca="false">IF($A210="","",IF(AND($H210&lt;&gt;"",$H210&gt;=Targets!$C$7,$H210&lt;=Targets!$C$8),"Yes","No"))</f>
        <v>No</v>
      </c>
      <c r="Q210" s="66" t="str">
        <f aca="false">IF($A210="","",IF(AND($F210="Project",$E210&lt;&gt;"Closed",$E210&lt;&gt;"Dormant"),"Yes","No"))</f>
        <v>Yes</v>
      </c>
      <c r="R210" s="66" t="str">
        <f aca="false">IF($A210="","",IF(AND($L210="In-house",OR($E210="Intake",$E210="Active",$E210="Waiting")),"Yes","No"))</f>
        <v>Yes</v>
      </c>
      <c r="S210" s="66" t="str">
        <f aca="false">IF($A210="","",$C210&amp;" | "&amp;$D210)</f>
        <v>Contracts | Out for signature or awaiting the counterparty</v>
      </c>
      <c r="T210" s="66" t="str">
        <f aca="false">IF($A210="","",IF(AND($L210="Outside provider",OR($E210="Intake",$E210="Active",$E210="Waiting")),"Yes","No"))</f>
        <v>No</v>
      </c>
    </row>
    <row r="211" customFormat="false" ht="15" hidden="false" customHeight="true" outlineLevel="0" collapsed="false">
      <c r="A211" s="67" t="s">
        <v>828</v>
      </c>
      <c r="B211" s="67" t="s">
        <v>829</v>
      </c>
      <c r="C211" s="67" t="s">
        <v>501</v>
      </c>
      <c r="D211" s="67" t="s">
        <v>502</v>
      </c>
      <c r="E211" s="67" t="str">
        <f aca="false">IF($A211="","",IFERROR(INDEX('Status map'!$D$6:$D$64,MATCH($C211&amp;" | "&amp;$D211,'Status map'!$I$6:$I$64,0)),"Unmapped"))</f>
        <v>Closed</v>
      </c>
      <c r="F211" s="67" t="s">
        <v>448</v>
      </c>
      <c r="G211" s="70" t="n">
        <v>46057</v>
      </c>
      <c r="H211" s="70" t="n">
        <v>46249</v>
      </c>
      <c r="I211" s="70" t="n">
        <v>46249</v>
      </c>
      <c r="J211" s="67" t="s">
        <v>450</v>
      </c>
      <c r="K211" s="67" t="s">
        <v>492</v>
      </c>
      <c r="L211" s="67" t="s">
        <v>451</v>
      </c>
      <c r="M211" s="66" t="str">
        <f aca="false">IF(OR($A211="",$H211&lt;&gt;""),"",Targets!$C$8-$I211)</f>
        <v/>
      </c>
      <c r="N211" s="66" t="str">
        <f aca="false">IF($A211="","",IF(AND($F211="Project",$E211="Active",$M211&lt;&gt;"",$M211&gt;Targets!$C$12),"Yes","No"))</f>
        <v>No</v>
      </c>
      <c r="O211" s="66" t="str">
        <f aca="false">IF($A211="","",IF(AND($G211&gt;=Targets!$C$7,$G211&lt;=Targets!$C$8),"Yes","No"))</f>
        <v>No</v>
      </c>
      <c r="P211" s="66" t="str">
        <f aca="false">IF($A211="","",IF(AND($H211&lt;&gt;"",$H211&gt;=Targets!$C$7,$H211&lt;=Targets!$C$8),"Yes","No"))</f>
        <v>Yes</v>
      </c>
      <c r="Q211" s="66" t="str">
        <f aca="false">IF($A211="","",IF(AND($F211="Project",$E211&lt;&gt;"Closed",$E211&lt;&gt;"Dormant"),"Yes","No"))</f>
        <v>No</v>
      </c>
      <c r="R211" s="66" t="str">
        <f aca="false">IF($A211="","",IF(AND($L211="In-house",OR($E211="Intake",$E211="Active",$E211="Waiting")),"Yes","No"))</f>
        <v>No</v>
      </c>
      <c r="S211" s="66" t="str">
        <f aca="false">IF($A211="","",$C211&amp;" | "&amp;$D211)</f>
        <v>M&amp;A and corporate deals | Deal closed</v>
      </c>
      <c r="T211" s="66" t="str">
        <f aca="false">IF($A211="","",IF(AND($L211="Outside provider",OR($E211="Intake",$E211="Active",$E211="Waiting")),"Yes","No"))</f>
        <v>No</v>
      </c>
    </row>
    <row r="212" customFormat="false" ht="15" hidden="false" customHeight="true" outlineLevel="0" collapsed="false">
      <c r="A212" s="63" t="s">
        <v>265</v>
      </c>
      <c r="B212" s="63" t="s">
        <v>830</v>
      </c>
      <c r="C212" s="63" t="s">
        <v>446</v>
      </c>
      <c r="D212" s="63" t="s">
        <v>545</v>
      </c>
      <c r="E212" s="63" t="str">
        <f aca="false">IF($A212="","",IFERROR(INDEX('Status map'!$D$6:$D$64,MATCH($C212&amp;" | "&amp;$D212,'Status map'!$I$6:$I$64,0)),"Unmapped"))</f>
        <v>Active</v>
      </c>
      <c r="F212" s="63" t="s">
        <v>448</v>
      </c>
      <c r="G212" s="69" t="n">
        <v>46256</v>
      </c>
      <c r="H212" s="69"/>
      <c r="I212" s="69" t="n">
        <v>46242</v>
      </c>
      <c r="J212" s="63" t="s">
        <v>474</v>
      </c>
      <c r="K212" s="63" t="s">
        <v>450</v>
      </c>
      <c r="L212" s="63" t="s">
        <v>451</v>
      </c>
      <c r="M212" s="66" t="n">
        <f aca="false">IF(OR($A212="",$H212&lt;&gt;""),"",Targets!$C$8-$I212)</f>
        <v>23</v>
      </c>
      <c r="N212" s="66" t="str">
        <f aca="false">IF($A212="","",IF(AND($F212="Project",$E212="Active",$M212&lt;&gt;"",$M212&gt;Targets!$C$12),"Yes","No"))</f>
        <v>No</v>
      </c>
      <c r="O212" s="66" t="str">
        <f aca="false">IF($A212="","",IF(AND($G212&gt;=Targets!$C$7,$G212&lt;=Targets!$C$8),"Yes","No"))</f>
        <v>Yes</v>
      </c>
      <c r="P212" s="66" t="str">
        <f aca="false">IF($A212="","",IF(AND($H212&lt;&gt;"",$H212&gt;=Targets!$C$7,$H212&lt;=Targets!$C$8),"Yes","No"))</f>
        <v>No</v>
      </c>
      <c r="Q212" s="66" t="str">
        <f aca="false">IF($A212="","",IF(AND($F212="Project",$E212&lt;&gt;"Closed",$E212&lt;&gt;"Dormant"),"Yes","No"))</f>
        <v>Yes</v>
      </c>
      <c r="R212" s="66" t="str">
        <f aca="false">IF($A212="","",IF(AND($L212="In-house",OR($E212="Intake",$E212="Active",$E212="Waiting")),"Yes","No"))</f>
        <v>Yes</v>
      </c>
      <c r="S212" s="66" t="str">
        <f aca="false">IF($A212="","",$C212&amp;" | "&amp;$D212)</f>
        <v>Employment | Investigation underway</v>
      </c>
      <c r="T212" s="66" t="str">
        <f aca="false">IF($A212="","",IF(AND($L212="Outside provider",OR($E212="Intake",$E212="Active",$E212="Waiting")),"Yes","No"))</f>
        <v>No</v>
      </c>
    </row>
    <row r="213" customFormat="false" ht="15" hidden="false" customHeight="true" outlineLevel="0" collapsed="false">
      <c r="A213" s="67" t="s">
        <v>831</v>
      </c>
      <c r="B213" s="67" t="s">
        <v>832</v>
      </c>
      <c r="C213" s="67" t="s">
        <v>459</v>
      </c>
      <c r="D213" s="67" t="s">
        <v>481</v>
      </c>
      <c r="E213" s="67" t="str">
        <f aca="false">IF($A213="","",IFERROR(INDEX('Status map'!$D$6:$D$64,MATCH($C213&amp;" | "&amp;$D213,'Status map'!$I$6:$I$64,0)),"Unmapped"))</f>
        <v>Closed</v>
      </c>
      <c r="F213" s="67" t="s">
        <v>448</v>
      </c>
      <c r="G213" s="70" t="n">
        <v>46120</v>
      </c>
      <c r="H213" s="70" t="n">
        <v>46240</v>
      </c>
      <c r="I213" s="70" t="n">
        <v>46240</v>
      </c>
      <c r="J213" s="67" t="s">
        <v>461</v>
      </c>
      <c r="K213" s="67" t="s">
        <v>461</v>
      </c>
      <c r="L213" s="67" t="s">
        <v>451</v>
      </c>
      <c r="M213" s="66" t="str">
        <f aca="false">IF(OR($A213="",$H213&lt;&gt;""),"",Targets!$C$8-$I213)</f>
        <v/>
      </c>
      <c r="N213" s="66" t="str">
        <f aca="false">IF($A213="","",IF(AND($F213="Project",$E213="Active",$M213&lt;&gt;"",$M213&gt;Targets!$C$12),"Yes","No"))</f>
        <v>No</v>
      </c>
      <c r="O213" s="66" t="str">
        <f aca="false">IF($A213="","",IF(AND($G213&gt;=Targets!$C$7,$G213&lt;=Targets!$C$8),"Yes","No"))</f>
        <v>No</v>
      </c>
      <c r="P213" s="66" t="str">
        <f aca="false">IF($A213="","",IF(AND($H213&lt;&gt;"",$H213&gt;=Targets!$C$7,$H213&lt;=Targets!$C$8),"Yes","No"))</f>
        <v>Yes</v>
      </c>
      <c r="Q213" s="66" t="str">
        <f aca="false">IF($A213="","",IF(AND($F213="Project",$E213&lt;&gt;"Closed",$E213&lt;&gt;"Dormant"),"Yes","No"))</f>
        <v>No</v>
      </c>
      <c r="R213" s="66" t="str">
        <f aca="false">IF($A213="","",IF(AND($L213="In-house",OR($E213="Intake",$E213="Active",$E213="Waiting")),"Yes","No"))</f>
        <v>No</v>
      </c>
      <c r="S213" s="66" t="str">
        <f aca="false">IF($A213="","",$C213&amp;" | "&amp;$D213)</f>
        <v>Contracts | Expired or terminated</v>
      </c>
      <c r="T213" s="66" t="str">
        <f aca="false">IF($A213="","",IF(AND($L213="Outside provider",OR($E213="Intake",$E213="Active",$E213="Waiting")),"Yes","No"))</f>
        <v>No</v>
      </c>
    </row>
    <row r="214" customFormat="false" ht="15" hidden="false" customHeight="true" outlineLevel="0" collapsed="false">
      <c r="A214" s="63" t="s">
        <v>833</v>
      </c>
      <c r="B214" s="63" t="s">
        <v>834</v>
      </c>
      <c r="C214" s="63" t="s">
        <v>501</v>
      </c>
      <c r="D214" s="63" t="s">
        <v>502</v>
      </c>
      <c r="E214" s="63" t="str">
        <f aca="false">IF($A214="","",IFERROR(INDEX('Status map'!$D$6:$D$64,MATCH($C214&amp;" | "&amp;$D214,'Status map'!$I$6:$I$64,0)),"Unmapped"))</f>
        <v>Closed</v>
      </c>
      <c r="F214" s="63" t="s">
        <v>448</v>
      </c>
      <c r="G214" s="69" t="n">
        <v>45779</v>
      </c>
      <c r="H214" s="69" t="n">
        <v>45872</v>
      </c>
      <c r="I214" s="69" t="n">
        <v>45872</v>
      </c>
      <c r="J214" s="63" t="s">
        <v>492</v>
      </c>
      <c r="K214" s="63" t="s">
        <v>470</v>
      </c>
      <c r="L214" s="63" t="s">
        <v>451</v>
      </c>
      <c r="M214" s="66" t="str">
        <f aca="false">IF(OR($A214="",$H214&lt;&gt;""),"",Targets!$C$8-$I214)</f>
        <v/>
      </c>
      <c r="N214" s="66" t="str">
        <f aca="false">IF($A214="","",IF(AND($F214="Project",$E214="Active",$M214&lt;&gt;"",$M214&gt;Targets!$C$12),"Yes","No"))</f>
        <v>No</v>
      </c>
      <c r="O214" s="66" t="str">
        <f aca="false">IF($A214="","",IF(AND($G214&gt;=Targets!$C$7,$G214&lt;=Targets!$C$8),"Yes","No"))</f>
        <v>No</v>
      </c>
      <c r="P214" s="66" t="str">
        <f aca="false">IF($A214="","",IF(AND($H214&lt;&gt;"",$H214&gt;=Targets!$C$7,$H214&lt;=Targets!$C$8),"Yes","No"))</f>
        <v>No</v>
      </c>
      <c r="Q214" s="66" t="str">
        <f aca="false">IF($A214="","",IF(AND($F214="Project",$E214&lt;&gt;"Closed",$E214&lt;&gt;"Dormant"),"Yes","No"))</f>
        <v>No</v>
      </c>
      <c r="R214" s="66" t="str">
        <f aca="false">IF($A214="","",IF(AND($L214="In-house",OR($E214="Intake",$E214="Active",$E214="Waiting")),"Yes","No"))</f>
        <v>No</v>
      </c>
      <c r="S214" s="66" t="str">
        <f aca="false">IF($A214="","",$C214&amp;" | "&amp;$D214)</f>
        <v>M&amp;A and corporate deals | Deal closed</v>
      </c>
      <c r="T214" s="66" t="str">
        <f aca="false">IF($A214="","",IF(AND($L214="Outside provider",OR($E214="Intake",$E214="Active",$E214="Waiting")),"Yes","No"))</f>
        <v>No</v>
      </c>
    </row>
    <row r="215" customFormat="false" ht="15" hidden="false" customHeight="true" outlineLevel="0" collapsed="false">
      <c r="A215" s="67" t="s">
        <v>835</v>
      </c>
      <c r="B215" s="67" t="s">
        <v>836</v>
      </c>
      <c r="C215" s="67" t="s">
        <v>454</v>
      </c>
      <c r="D215" s="67" t="s">
        <v>455</v>
      </c>
      <c r="E215" s="67" t="str">
        <f aca="false">IF($A215="","",IFERROR(INDEX('Status map'!$D$6:$D$64,MATCH($C215&amp;" | "&amp;$D215,'Status map'!$I$6:$I$64,0)),"Unmapped"))</f>
        <v>Closed</v>
      </c>
      <c r="F215" s="67" t="s">
        <v>448</v>
      </c>
      <c r="G215" s="70" t="n">
        <v>46157</v>
      </c>
      <c r="H215" s="70" t="n">
        <v>46252</v>
      </c>
      <c r="I215" s="70" t="n">
        <v>46252</v>
      </c>
      <c r="J215" s="67" t="s">
        <v>449</v>
      </c>
      <c r="K215" s="67" t="s">
        <v>461</v>
      </c>
      <c r="L215" s="67" t="s">
        <v>451</v>
      </c>
      <c r="M215" s="66" t="str">
        <f aca="false">IF(OR($A215="",$H215&lt;&gt;""),"",Targets!$C$8-$I215)</f>
        <v/>
      </c>
      <c r="N215" s="66" t="str">
        <f aca="false">IF($A215="","",IF(AND($F215="Project",$E215="Active",$M215&lt;&gt;"",$M215&gt;Targets!$C$12),"Yes","No"))</f>
        <v>No</v>
      </c>
      <c r="O215" s="66" t="str">
        <f aca="false">IF($A215="","",IF(AND($G215&gt;=Targets!$C$7,$G215&lt;=Targets!$C$8),"Yes","No"))</f>
        <v>No</v>
      </c>
      <c r="P215" s="66" t="str">
        <f aca="false">IF($A215="","",IF(AND($H215&lt;&gt;"",$H215&gt;=Targets!$C$7,$H215&lt;=Targets!$C$8),"Yes","No"))</f>
        <v>Yes</v>
      </c>
      <c r="Q215" s="66" t="str">
        <f aca="false">IF($A215="","",IF(AND($F215="Project",$E215&lt;&gt;"Closed",$E215&lt;&gt;"Dormant"),"Yes","No"))</f>
        <v>No</v>
      </c>
      <c r="R215" s="66" t="str">
        <f aca="false">IF($A215="","",IF(AND($L215="In-house",OR($E215="Intake",$E215="Active",$E215="Waiting")),"Yes","No"))</f>
        <v>No</v>
      </c>
      <c r="S215" s="66" t="str">
        <f aca="false">IF($A215="","",$C215&amp;" | "&amp;$D215)</f>
        <v>Litigation | Settled, dismissed, or judgment entered</v>
      </c>
      <c r="T215" s="66" t="str">
        <f aca="false">IF($A215="","",IF(AND($L215="Outside provider",OR($E215="Intake",$E215="Active",$E215="Waiting")),"Yes","No"))</f>
        <v>No</v>
      </c>
    </row>
    <row r="216" customFormat="false" ht="15" hidden="false" customHeight="true" outlineLevel="0" collapsed="false">
      <c r="A216" s="63" t="s">
        <v>374</v>
      </c>
      <c r="B216" s="63" t="s">
        <v>837</v>
      </c>
      <c r="C216" s="63" t="s">
        <v>459</v>
      </c>
      <c r="D216" s="63" t="s">
        <v>491</v>
      </c>
      <c r="E216" s="63" t="str">
        <f aca="false">IF($A216="","",IFERROR(INDEX('Status map'!$D$6:$D$64,MATCH($C216&amp;" | "&amp;$D216,'Status map'!$I$6:$I$64,0)),"Unmapped"))</f>
        <v>Active</v>
      </c>
      <c r="F216" s="63" t="s">
        <v>448</v>
      </c>
      <c r="G216" s="69" t="n">
        <v>46263</v>
      </c>
      <c r="H216" s="69"/>
      <c r="I216" s="69" t="n">
        <v>46247</v>
      </c>
      <c r="J216" s="63" t="s">
        <v>474</v>
      </c>
      <c r="K216" s="63" t="s">
        <v>450</v>
      </c>
      <c r="L216" s="63" t="s">
        <v>451</v>
      </c>
      <c r="M216" s="66" t="n">
        <f aca="false">IF(OR($A216="",$H216&lt;&gt;""),"",Targets!$C$8-$I216)</f>
        <v>18</v>
      </c>
      <c r="N216" s="66" t="str">
        <f aca="false">IF($A216="","",IF(AND($F216="Project",$E216="Active",$M216&lt;&gt;"",$M216&gt;Targets!$C$12),"Yes","No"))</f>
        <v>No</v>
      </c>
      <c r="O216" s="66" t="str">
        <f aca="false">IF($A216="","",IF(AND($G216&gt;=Targets!$C$7,$G216&lt;=Targets!$C$8),"Yes","No"))</f>
        <v>Yes</v>
      </c>
      <c r="P216" s="66" t="str">
        <f aca="false">IF($A216="","",IF(AND($H216&lt;&gt;"",$H216&gt;=Targets!$C$7,$H216&lt;=Targets!$C$8),"Yes","No"))</f>
        <v>No</v>
      </c>
      <c r="Q216" s="66" t="str">
        <f aca="false">IF($A216="","",IF(AND($F216="Project",$E216&lt;&gt;"Closed",$E216&lt;&gt;"Dormant"),"Yes","No"))</f>
        <v>Yes</v>
      </c>
      <c r="R216" s="66" t="str">
        <f aca="false">IF($A216="","",IF(AND($L216="In-house",OR($E216="Intake",$E216="Active",$E216="Waiting")),"Yes","No"))</f>
        <v>Yes</v>
      </c>
      <c r="S216" s="66" t="str">
        <f aca="false">IF($A216="","",$C216&amp;" | "&amp;$D216)</f>
        <v>Contracts | Drafting, review, or negotiation</v>
      </c>
      <c r="T216" s="66" t="str">
        <f aca="false">IF($A216="","",IF(AND($L216="Outside provider",OR($E216="Intake",$E216="Active",$E216="Waiting")),"Yes","No"))</f>
        <v>No</v>
      </c>
    </row>
    <row r="217" customFormat="false" ht="15" hidden="false" customHeight="true" outlineLevel="0" collapsed="false">
      <c r="A217" s="67" t="s">
        <v>247</v>
      </c>
      <c r="B217" s="67" t="s">
        <v>575</v>
      </c>
      <c r="C217" s="67" t="s">
        <v>501</v>
      </c>
      <c r="D217" s="67" t="s">
        <v>502</v>
      </c>
      <c r="E217" s="67" t="str">
        <f aca="false">IF($A217="","",IFERROR(INDEX('Status map'!$D$6:$D$64,MATCH($C217&amp;" | "&amp;$D217,'Status map'!$I$6:$I$64,0)),"Unmapped"))</f>
        <v>Closed</v>
      </c>
      <c r="F217" s="67" t="s">
        <v>448</v>
      </c>
      <c r="G217" s="70" t="n">
        <v>46245</v>
      </c>
      <c r="H217" s="70" t="n">
        <v>46265</v>
      </c>
      <c r="I217" s="70" t="n">
        <v>46265</v>
      </c>
      <c r="J217" s="67" t="s">
        <v>474</v>
      </c>
      <c r="K217" s="67" t="s">
        <v>492</v>
      </c>
      <c r="L217" s="67" t="s">
        <v>451</v>
      </c>
      <c r="M217" s="66" t="str">
        <f aca="false">IF(OR($A217="",$H217&lt;&gt;""),"",Targets!$C$8-$I217)</f>
        <v/>
      </c>
      <c r="N217" s="66" t="str">
        <f aca="false">IF($A217="","",IF(AND($F217="Project",$E217="Active",$M217&lt;&gt;"",$M217&gt;Targets!$C$12),"Yes","No"))</f>
        <v>No</v>
      </c>
      <c r="O217" s="66" t="str">
        <f aca="false">IF($A217="","",IF(AND($G217&gt;=Targets!$C$7,$G217&lt;=Targets!$C$8),"Yes","No"))</f>
        <v>Yes</v>
      </c>
      <c r="P217" s="66" t="str">
        <f aca="false">IF($A217="","",IF(AND($H217&lt;&gt;"",$H217&gt;=Targets!$C$7,$H217&lt;=Targets!$C$8),"Yes","No"))</f>
        <v>Yes</v>
      </c>
      <c r="Q217" s="66" t="str">
        <f aca="false">IF($A217="","",IF(AND($F217="Project",$E217&lt;&gt;"Closed",$E217&lt;&gt;"Dormant"),"Yes","No"))</f>
        <v>No</v>
      </c>
      <c r="R217" s="66" t="str">
        <f aca="false">IF($A217="","",IF(AND($L217="In-house",OR($E217="Intake",$E217="Active",$E217="Waiting")),"Yes","No"))</f>
        <v>No</v>
      </c>
      <c r="S217" s="66" t="str">
        <f aca="false">IF($A217="","",$C217&amp;" | "&amp;$D217)</f>
        <v>M&amp;A and corporate deals | Deal closed</v>
      </c>
      <c r="T217" s="66" t="str">
        <f aca="false">IF($A217="","",IF(AND($L217="Outside provider",OR($E217="Intake",$E217="Active",$E217="Waiting")),"Yes","No"))</f>
        <v>No</v>
      </c>
    </row>
    <row r="218" customFormat="false" ht="15" hidden="false" customHeight="true" outlineLevel="0" collapsed="false">
      <c r="A218" s="63" t="s">
        <v>838</v>
      </c>
      <c r="B218" s="63" t="s">
        <v>755</v>
      </c>
      <c r="C218" s="63" t="s">
        <v>501</v>
      </c>
      <c r="D218" s="63" t="s">
        <v>683</v>
      </c>
      <c r="E218" s="63" t="str">
        <f aca="false">IF($A218="","",IFERROR(INDEX('Status map'!$D$6:$D$64,MATCH($C218&amp;" | "&amp;$D218,'Status map'!$I$6:$I$64,0)),"Unmapped"))</f>
        <v>Active</v>
      </c>
      <c r="F218" s="63" t="s">
        <v>448</v>
      </c>
      <c r="G218" s="69" t="n">
        <v>45895</v>
      </c>
      <c r="H218" s="69"/>
      <c r="I218" s="69" t="n">
        <v>46242</v>
      </c>
      <c r="J218" s="63" t="s">
        <v>470</v>
      </c>
      <c r="K218" s="63" t="s">
        <v>461</v>
      </c>
      <c r="L218" s="63" t="s">
        <v>451</v>
      </c>
      <c r="M218" s="66" t="n">
        <f aca="false">IF(OR($A218="",$H218&lt;&gt;""),"",Targets!$C$8-$I218)</f>
        <v>23</v>
      </c>
      <c r="N218" s="66" t="str">
        <f aca="false">IF($A218="","",IF(AND($F218="Project",$E218="Active",$M218&lt;&gt;"",$M218&gt;Targets!$C$12),"Yes","No"))</f>
        <v>No</v>
      </c>
      <c r="O218" s="66" t="str">
        <f aca="false">IF($A218="","",IF(AND($G218&gt;=Targets!$C$7,$G218&lt;=Targets!$C$8),"Yes","No"))</f>
        <v>No</v>
      </c>
      <c r="P218" s="66" t="str">
        <f aca="false">IF($A218="","",IF(AND($H218&lt;&gt;"",$H218&gt;=Targets!$C$7,$H218&lt;=Targets!$C$8),"Yes","No"))</f>
        <v>No</v>
      </c>
      <c r="Q218" s="66" t="str">
        <f aca="false">IF($A218="","",IF(AND($F218="Project",$E218&lt;&gt;"Closed",$E218&lt;&gt;"Dormant"),"Yes","No"))</f>
        <v>Yes</v>
      </c>
      <c r="R218" s="66" t="str">
        <f aca="false">IF($A218="","",IF(AND($L218="In-house",OR($E218="Intake",$E218="Active",$E218="Waiting")),"Yes","No"))</f>
        <v>Yes</v>
      </c>
      <c r="S218" s="66" t="str">
        <f aca="false">IF($A218="","",$C218&amp;" | "&amp;$D218)</f>
        <v>M&amp;A and corporate deals | Due diligence and negotiation underway</v>
      </c>
      <c r="T218" s="66" t="str">
        <f aca="false">IF($A218="","",IF(AND($L218="Outside provider",OR($E218="Intake",$E218="Active",$E218="Waiting")),"Yes","No"))</f>
        <v>No</v>
      </c>
    </row>
    <row r="219" customFormat="false" ht="15" hidden="false" customHeight="true" outlineLevel="0" collapsed="false">
      <c r="A219" s="67" t="s">
        <v>839</v>
      </c>
      <c r="B219" s="67" t="s">
        <v>840</v>
      </c>
      <c r="C219" s="67" t="s">
        <v>501</v>
      </c>
      <c r="D219" s="67" t="s">
        <v>502</v>
      </c>
      <c r="E219" s="67" t="str">
        <f aca="false">IF($A219="","",IFERROR(INDEX('Status map'!$D$6:$D$64,MATCH($C219&amp;" | "&amp;$D219,'Status map'!$I$6:$I$64,0)),"Unmapped"))</f>
        <v>Closed</v>
      </c>
      <c r="F219" s="67" t="s">
        <v>448</v>
      </c>
      <c r="G219" s="70" t="n">
        <v>46018</v>
      </c>
      <c r="H219" s="70" t="n">
        <v>46250</v>
      </c>
      <c r="I219" s="70" t="n">
        <v>46250</v>
      </c>
      <c r="J219" s="67" t="s">
        <v>492</v>
      </c>
      <c r="K219" s="67" t="s">
        <v>456</v>
      </c>
      <c r="L219" s="67" t="s">
        <v>451</v>
      </c>
      <c r="M219" s="66" t="str">
        <f aca="false">IF(OR($A219="",$H219&lt;&gt;""),"",Targets!$C$8-$I219)</f>
        <v/>
      </c>
      <c r="N219" s="66" t="str">
        <f aca="false">IF($A219="","",IF(AND($F219="Project",$E219="Active",$M219&lt;&gt;"",$M219&gt;Targets!$C$12),"Yes","No"))</f>
        <v>No</v>
      </c>
      <c r="O219" s="66" t="str">
        <f aca="false">IF($A219="","",IF(AND($G219&gt;=Targets!$C$7,$G219&lt;=Targets!$C$8),"Yes","No"))</f>
        <v>No</v>
      </c>
      <c r="P219" s="66" t="str">
        <f aca="false">IF($A219="","",IF(AND($H219&lt;&gt;"",$H219&gt;=Targets!$C$7,$H219&lt;=Targets!$C$8),"Yes","No"))</f>
        <v>Yes</v>
      </c>
      <c r="Q219" s="66" t="str">
        <f aca="false">IF($A219="","",IF(AND($F219="Project",$E219&lt;&gt;"Closed",$E219&lt;&gt;"Dormant"),"Yes","No"))</f>
        <v>No</v>
      </c>
      <c r="R219" s="66" t="str">
        <f aca="false">IF($A219="","",IF(AND($L219="In-house",OR($E219="Intake",$E219="Active",$E219="Waiting")),"Yes","No"))</f>
        <v>No</v>
      </c>
      <c r="S219" s="66" t="str">
        <f aca="false">IF($A219="","",$C219&amp;" | "&amp;$D219)</f>
        <v>M&amp;A and corporate deals | Deal closed</v>
      </c>
      <c r="T219" s="66" t="str">
        <f aca="false">IF($A219="","",IF(AND($L219="Outside provider",OR($E219="Intake",$E219="Active",$E219="Waiting")),"Yes","No"))</f>
        <v>No</v>
      </c>
    </row>
    <row r="220" customFormat="false" ht="15" hidden="false" customHeight="true" outlineLevel="0" collapsed="false">
      <c r="A220" s="63" t="s">
        <v>335</v>
      </c>
      <c r="B220" s="63" t="s">
        <v>562</v>
      </c>
      <c r="C220" s="63" t="s">
        <v>446</v>
      </c>
      <c r="D220" s="63" t="s">
        <v>545</v>
      </c>
      <c r="E220" s="63" t="str">
        <f aca="false">IF($A220="","",IFERROR(INDEX('Status map'!$D$6:$D$64,MATCH($C220&amp;" | "&amp;$D220,'Status map'!$I$6:$I$64,0)),"Unmapped"))</f>
        <v>Active</v>
      </c>
      <c r="F220" s="63" t="s">
        <v>448</v>
      </c>
      <c r="G220" s="69" t="n">
        <v>46252</v>
      </c>
      <c r="H220" s="69"/>
      <c r="I220" s="69" t="n">
        <v>46262</v>
      </c>
      <c r="J220" s="63" t="s">
        <v>470</v>
      </c>
      <c r="K220" s="63" t="s">
        <v>474</v>
      </c>
      <c r="L220" s="63" t="s">
        <v>451</v>
      </c>
      <c r="M220" s="66" t="n">
        <f aca="false">IF(OR($A220="",$H220&lt;&gt;""),"",Targets!$C$8-$I220)</f>
        <v>3</v>
      </c>
      <c r="N220" s="66" t="str">
        <f aca="false">IF($A220="","",IF(AND($F220="Project",$E220="Active",$M220&lt;&gt;"",$M220&gt;Targets!$C$12),"Yes","No"))</f>
        <v>No</v>
      </c>
      <c r="O220" s="66" t="str">
        <f aca="false">IF($A220="","",IF(AND($G220&gt;=Targets!$C$7,$G220&lt;=Targets!$C$8),"Yes","No"))</f>
        <v>Yes</v>
      </c>
      <c r="P220" s="66" t="str">
        <f aca="false">IF($A220="","",IF(AND($H220&lt;&gt;"",$H220&gt;=Targets!$C$7,$H220&lt;=Targets!$C$8),"Yes","No"))</f>
        <v>No</v>
      </c>
      <c r="Q220" s="66" t="str">
        <f aca="false">IF($A220="","",IF(AND($F220="Project",$E220&lt;&gt;"Closed",$E220&lt;&gt;"Dormant"),"Yes","No"))</f>
        <v>Yes</v>
      </c>
      <c r="R220" s="66" t="str">
        <f aca="false">IF($A220="","",IF(AND($L220="In-house",OR($E220="Intake",$E220="Active",$E220="Waiting")),"Yes","No"))</f>
        <v>Yes</v>
      </c>
      <c r="S220" s="66" t="str">
        <f aca="false">IF($A220="","",$C220&amp;" | "&amp;$D220)</f>
        <v>Employment | Investigation underway</v>
      </c>
      <c r="T220" s="66" t="str">
        <f aca="false">IF($A220="","",IF(AND($L220="Outside provider",OR($E220="Intake",$E220="Active",$E220="Waiting")),"Yes","No"))</f>
        <v>No</v>
      </c>
    </row>
    <row r="221" customFormat="false" ht="15" hidden="false" customHeight="true" outlineLevel="0" collapsed="false">
      <c r="A221" s="67" t="s">
        <v>308</v>
      </c>
      <c r="B221" s="67" t="s">
        <v>841</v>
      </c>
      <c r="C221" s="67" t="s">
        <v>454</v>
      </c>
      <c r="D221" s="67" t="s">
        <v>455</v>
      </c>
      <c r="E221" s="67" t="str">
        <f aca="false">IF($A221="","",IFERROR(INDEX('Status map'!$D$6:$D$64,MATCH($C221&amp;" | "&amp;$D221,'Status map'!$I$6:$I$64,0)),"Unmapped"))</f>
        <v>Closed</v>
      </c>
      <c r="F221" s="67" t="s">
        <v>448</v>
      </c>
      <c r="G221" s="70" t="n">
        <v>46252</v>
      </c>
      <c r="H221" s="70" t="n">
        <v>46255</v>
      </c>
      <c r="I221" s="70" t="n">
        <v>46255</v>
      </c>
      <c r="J221" s="67" t="s">
        <v>474</v>
      </c>
      <c r="K221" s="67" t="s">
        <v>449</v>
      </c>
      <c r="L221" s="67" t="s">
        <v>451</v>
      </c>
      <c r="M221" s="66" t="str">
        <f aca="false">IF(OR($A221="",$H221&lt;&gt;""),"",Targets!$C$8-$I221)</f>
        <v/>
      </c>
      <c r="N221" s="66" t="str">
        <f aca="false">IF($A221="","",IF(AND($F221="Project",$E221="Active",$M221&lt;&gt;"",$M221&gt;Targets!$C$12),"Yes","No"))</f>
        <v>No</v>
      </c>
      <c r="O221" s="66" t="str">
        <f aca="false">IF($A221="","",IF(AND($G221&gt;=Targets!$C$7,$G221&lt;=Targets!$C$8),"Yes","No"))</f>
        <v>Yes</v>
      </c>
      <c r="P221" s="66" t="str">
        <f aca="false">IF($A221="","",IF(AND($H221&lt;&gt;"",$H221&gt;=Targets!$C$7,$H221&lt;=Targets!$C$8),"Yes","No"))</f>
        <v>Yes</v>
      </c>
      <c r="Q221" s="66" t="str">
        <f aca="false">IF($A221="","",IF(AND($F221="Project",$E221&lt;&gt;"Closed",$E221&lt;&gt;"Dormant"),"Yes","No"))</f>
        <v>No</v>
      </c>
      <c r="R221" s="66" t="str">
        <f aca="false">IF($A221="","",IF(AND($L221="In-house",OR($E221="Intake",$E221="Active",$E221="Waiting")),"Yes","No"))</f>
        <v>No</v>
      </c>
      <c r="S221" s="66" t="str">
        <f aca="false">IF($A221="","",$C221&amp;" | "&amp;$D221)</f>
        <v>Litigation | Settled, dismissed, or judgment entered</v>
      </c>
      <c r="T221" s="66" t="str">
        <f aca="false">IF($A221="","",IF(AND($L221="Outside provider",OR($E221="Intake",$E221="Active",$E221="Waiting")),"Yes","No"))</f>
        <v>No</v>
      </c>
    </row>
    <row r="222" customFormat="false" ht="15" hidden="false" customHeight="true" outlineLevel="0" collapsed="false">
      <c r="A222" s="63" t="s">
        <v>282</v>
      </c>
      <c r="B222" s="63" t="s">
        <v>842</v>
      </c>
      <c r="C222" s="63" t="s">
        <v>446</v>
      </c>
      <c r="D222" s="63" t="s">
        <v>473</v>
      </c>
      <c r="E222" s="63" t="str">
        <f aca="false">IF($A222="","",IFERROR(INDEX('Status map'!$D$6:$D$64,MATCH($C222&amp;" | "&amp;$D222,'Status map'!$I$6:$I$64,0)),"Unmapped"))</f>
        <v>Closed</v>
      </c>
      <c r="F222" s="63" t="s">
        <v>448</v>
      </c>
      <c r="G222" s="69" t="n">
        <v>46240</v>
      </c>
      <c r="H222" s="69" t="n">
        <v>46251</v>
      </c>
      <c r="I222" s="69" t="n">
        <v>46251</v>
      </c>
      <c r="J222" s="63" t="s">
        <v>474</v>
      </c>
      <c r="K222" s="63" t="s">
        <v>470</v>
      </c>
      <c r="L222" s="63" t="s">
        <v>451</v>
      </c>
      <c r="M222" s="66" t="str">
        <f aca="false">IF(OR($A222="",$H222&lt;&gt;""),"",Targets!$C$8-$I222)</f>
        <v/>
      </c>
      <c r="N222" s="66" t="str">
        <f aca="false">IF($A222="","",IF(AND($F222="Project",$E222="Active",$M222&lt;&gt;"",$M222&gt;Targets!$C$12),"Yes","No"))</f>
        <v>No</v>
      </c>
      <c r="O222" s="66" t="str">
        <f aca="false">IF($A222="","",IF(AND($G222&gt;=Targets!$C$7,$G222&lt;=Targets!$C$8),"Yes","No"))</f>
        <v>Yes</v>
      </c>
      <c r="P222" s="66" t="str">
        <f aca="false">IF($A222="","",IF(AND($H222&lt;&gt;"",$H222&gt;=Targets!$C$7,$H222&lt;=Targets!$C$8),"Yes","No"))</f>
        <v>Yes</v>
      </c>
      <c r="Q222" s="66" t="str">
        <f aca="false">IF($A222="","",IF(AND($F222="Project",$E222&lt;&gt;"Closed",$E222&lt;&gt;"Dormant"),"Yes","No"))</f>
        <v>No</v>
      </c>
      <c r="R222" s="66" t="str">
        <f aca="false">IF($A222="","",IF(AND($L222="In-house",OR($E222="Intake",$E222="Active",$E222="Waiting")),"Yes","No"))</f>
        <v>No</v>
      </c>
      <c r="S222" s="66" t="str">
        <f aca="false">IF($A222="","",$C222&amp;" | "&amp;$D222)</f>
        <v>Employment | Resolved or closed</v>
      </c>
      <c r="T222" s="66" t="str">
        <f aca="false">IF($A222="","",IF(AND($L222="Outside provider",OR($E222="Intake",$E222="Active",$E222="Waiting")),"Yes","No"))</f>
        <v>No</v>
      </c>
    </row>
    <row r="223" customFormat="false" ht="15" hidden="false" customHeight="true" outlineLevel="0" collapsed="false">
      <c r="A223" s="67" t="s">
        <v>843</v>
      </c>
      <c r="B223" s="67" t="s">
        <v>844</v>
      </c>
      <c r="C223" s="67" t="s">
        <v>459</v>
      </c>
      <c r="D223" s="67" t="s">
        <v>478</v>
      </c>
      <c r="E223" s="67" t="str">
        <f aca="false">IF($A223="","",IFERROR(INDEX('Status map'!$D$6:$D$64,MATCH($C223&amp;" | "&amp;$D223,'Status map'!$I$6:$I$64,0)),"Unmapped"))</f>
        <v>Closed</v>
      </c>
      <c r="F223" s="67" t="s">
        <v>448</v>
      </c>
      <c r="G223" s="70" t="n">
        <v>46154</v>
      </c>
      <c r="H223" s="70" t="n">
        <v>46244</v>
      </c>
      <c r="I223" s="70" t="n">
        <v>46244</v>
      </c>
      <c r="J223" s="67" t="s">
        <v>450</v>
      </c>
      <c r="K223" s="67" t="s">
        <v>462</v>
      </c>
      <c r="L223" s="67" t="s">
        <v>451</v>
      </c>
      <c r="M223" s="66" t="str">
        <f aca="false">IF(OR($A223="",$H223&lt;&gt;""),"",Targets!$C$8-$I223)</f>
        <v/>
      </c>
      <c r="N223" s="66" t="str">
        <f aca="false">IF($A223="","",IF(AND($F223="Project",$E223="Active",$M223&lt;&gt;"",$M223&gt;Targets!$C$12),"Yes","No"))</f>
        <v>No</v>
      </c>
      <c r="O223" s="66" t="str">
        <f aca="false">IF($A223="","",IF(AND($G223&gt;=Targets!$C$7,$G223&lt;=Targets!$C$8),"Yes","No"))</f>
        <v>No</v>
      </c>
      <c r="P223" s="66" t="str">
        <f aca="false">IF($A223="","",IF(AND($H223&lt;&gt;"",$H223&gt;=Targets!$C$7,$H223&lt;=Targets!$C$8),"Yes","No"))</f>
        <v>Yes</v>
      </c>
      <c r="Q223" s="66" t="str">
        <f aca="false">IF($A223="","",IF(AND($F223="Project",$E223&lt;&gt;"Closed",$E223&lt;&gt;"Dormant"),"Yes","No"))</f>
        <v>No</v>
      </c>
      <c r="R223" s="66" t="str">
        <f aca="false">IF($A223="","",IF(AND($L223="In-house",OR($E223="Intake",$E223="Active",$E223="Waiting")),"Yes","No"))</f>
        <v>No</v>
      </c>
      <c r="S223" s="66" t="str">
        <f aca="false">IF($A223="","",$C223&amp;" | "&amp;$D223)</f>
        <v>Contracts | Executed</v>
      </c>
      <c r="T223" s="66" t="str">
        <f aca="false">IF($A223="","",IF(AND($L223="Outside provider",OR($E223="Intake",$E223="Active",$E223="Waiting")),"Yes","No"))</f>
        <v>No</v>
      </c>
    </row>
    <row r="224" customFormat="false" ht="15" hidden="false" customHeight="true" outlineLevel="0" collapsed="false">
      <c r="A224" s="63" t="s">
        <v>845</v>
      </c>
      <c r="B224" s="63" t="s">
        <v>846</v>
      </c>
      <c r="C224" s="63" t="s">
        <v>454</v>
      </c>
      <c r="D224" s="63" t="s">
        <v>514</v>
      </c>
      <c r="E224" s="63" t="str">
        <f aca="false">IF($A224="","",IFERROR(INDEX('Status map'!$D$6:$D$64,MATCH($C224&amp;" | "&amp;$D224,'Status map'!$I$6:$I$64,0)),"Unmapped"))</f>
        <v>Active</v>
      </c>
      <c r="F224" s="63" t="s">
        <v>448</v>
      </c>
      <c r="G224" s="69" t="n">
        <v>45877</v>
      </c>
      <c r="H224" s="69"/>
      <c r="I224" s="69" t="n">
        <v>46249</v>
      </c>
      <c r="J224" s="63" t="s">
        <v>450</v>
      </c>
      <c r="K224" s="63" t="s">
        <v>462</v>
      </c>
      <c r="L224" s="63" t="s">
        <v>451</v>
      </c>
      <c r="M224" s="66" t="n">
        <f aca="false">IF(OR($A224="",$H224&lt;&gt;""),"",Targets!$C$8-$I224)</f>
        <v>16</v>
      </c>
      <c r="N224" s="66" t="str">
        <f aca="false">IF($A224="","",IF(AND($F224="Project",$E224="Active",$M224&lt;&gt;"",$M224&gt;Targets!$C$12),"Yes","No"))</f>
        <v>No</v>
      </c>
      <c r="O224" s="66" t="str">
        <f aca="false">IF($A224="","",IF(AND($G224&gt;=Targets!$C$7,$G224&lt;=Targets!$C$8),"Yes","No"))</f>
        <v>No</v>
      </c>
      <c r="P224" s="66" t="str">
        <f aca="false">IF($A224="","",IF(AND($H224&lt;&gt;"",$H224&gt;=Targets!$C$7,$H224&lt;=Targets!$C$8),"Yes","No"))</f>
        <v>No</v>
      </c>
      <c r="Q224" s="66" t="str">
        <f aca="false">IF($A224="","",IF(AND($F224="Project",$E224&lt;&gt;"Closed",$E224&lt;&gt;"Dormant"),"Yes","No"))</f>
        <v>Yes</v>
      </c>
      <c r="R224" s="66" t="str">
        <f aca="false">IF($A224="","",IF(AND($L224="In-house",OR($E224="Intake",$E224="Active",$E224="Waiting")),"Yes","No"))</f>
        <v>Yes</v>
      </c>
      <c r="S224" s="66" t="str">
        <f aca="false">IF($A224="","",$C224&amp;" | "&amp;$D224)</f>
        <v>Litigation | Active discovery, motions, or trial prep</v>
      </c>
      <c r="T224" s="66" t="str">
        <f aca="false">IF($A224="","",IF(AND($L224="Outside provider",OR($E224="Intake",$E224="Active",$E224="Waiting")),"Yes","No"))</f>
        <v>No</v>
      </c>
    </row>
    <row r="225" customFormat="false" ht="15" hidden="false" customHeight="true" outlineLevel="0" collapsed="false">
      <c r="A225" s="67" t="s">
        <v>337</v>
      </c>
      <c r="B225" s="67" t="s">
        <v>847</v>
      </c>
      <c r="C225" s="67" t="s">
        <v>454</v>
      </c>
      <c r="D225" s="67" t="s">
        <v>514</v>
      </c>
      <c r="E225" s="67" t="str">
        <f aca="false">IF($A225="","",IFERROR(INDEX('Status map'!$D$6:$D$64,MATCH($C225&amp;" | "&amp;$D225,'Status map'!$I$6:$I$64,0)),"Unmapped"))</f>
        <v>Active</v>
      </c>
      <c r="F225" s="67" t="s">
        <v>448</v>
      </c>
      <c r="G225" s="70" t="n">
        <v>46238</v>
      </c>
      <c r="H225" s="70"/>
      <c r="I225" s="70" t="n">
        <v>46265</v>
      </c>
      <c r="J225" s="67" t="s">
        <v>461</v>
      </c>
      <c r="K225" s="67" t="s">
        <v>474</v>
      </c>
      <c r="L225" s="67" t="s">
        <v>451</v>
      </c>
      <c r="M225" s="66" t="n">
        <f aca="false">IF(OR($A225="",$H225&lt;&gt;""),"",Targets!$C$8-$I225)</f>
        <v>0</v>
      </c>
      <c r="N225" s="66" t="str">
        <f aca="false">IF($A225="","",IF(AND($F225="Project",$E225="Active",$M225&lt;&gt;"",$M225&gt;Targets!$C$12),"Yes","No"))</f>
        <v>No</v>
      </c>
      <c r="O225" s="66" t="str">
        <f aca="false">IF($A225="","",IF(AND($G225&gt;=Targets!$C$7,$G225&lt;=Targets!$C$8),"Yes","No"))</f>
        <v>Yes</v>
      </c>
      <c r="P225" s="66" t="str">
        <f aca="false">IF($A225="","",IF(AND($H225&lt;&gt;"",$H225&gt;=Targets!$C$7,$H225&lt;=Targets!$C$8),"Yes","No"))</f>
        <v>No</v>
      </c>
      <c r="Q225" s="66" t="str">
        <f aca="false">IF($A225="","",IF(AND($F225="Project",$E225&lt;&gt;"Closed",$E225&lt;&gt;"Dormant"),"Yes","No"))</f>
        <v>Yes</v>
      </c>
      <c r="R225" s="66" t="str">
        <f aca="false">IF($A225="","",IF(AND($L225="In-house",OR($E225="Intake",$E225="Active",$E225="Waiting")),"Yes","No"))</f>
        <v>Yes</v>
      </c>
      <c r="S225" s="66" t="str">
        <f aca="false">IF($A225="","",$C225&amp;" | "&amp;$D225)</f>
        <v>Litigation | Active discovery, motions, or trial prep</v>
      </c>
      <c r="T225" s="66" t="str">
        <f aca="false">IF($A225="","",IF(AND($L225="Outside provider",OR($E225="Intake",$E225="Active",$E225="Waiting")),"Yes","No"))</f>
        <v>No</v>
      </c>
    </row>
    <row r="226" customFormat="false" ht="15" hidden="false" customHeight="true" outlineLevel="0" collapsed="false">
      <c r="A226" s="63" t="s">
        <v>848</v>
      </c>
      <c r="B226" s="63" t="s">
        <v>553</v>
      </c>
      <c r="C226" s="63" t="s">
        <v>465</v>
      </c>
      <c r="D226" s="63" t="s">
        <v>509</v>
      </c>
      <c r="E226" s="63" t="str">
        <f aca="false">IF($A226="","",IFERROR(INDEX('Status map'!$D$6:$D$64,MATCH($C226&amp;" | "&amp;$D226,'Status map'!$I$6:$I$64,0)),"Unmapped"))</f>
        <v>Dormant</v>
      </c>
      <c r="F226" s="63" t="s">
        <v>510</v>
      </c>
      <c r="G226" s="69" t="n">
        <v>44398</v>
      </c>
      <c r="H226" s="69"/>
      <c r="I226" s="69" t="n">
        <v>46017</v>
      </c>
      <c r="J226" s="63" t="s">
        <v>462</v>
      </c>
      <c r="K226" s="63" t="s">
        <v>470</v>
      </c>
      <c r="L226" s="63" t="s">
        <v>451</v>
      </c>
      <c r="M226" s="66" t="n">
        <f aca="false">IF(OR($A226="",$H226&lt;&gt;""),"",Targets!$C$8-$I226)</f>
        <v>248</v>
      </c>
      <c r="N226" s="66" t="str">
        <f aca="false">IF($A226="","",IF(AND($F226="Project",$E226="Active",$M226&lt;&gt;"",$M226&gt;Targets!$C$12),"Yes","No"))</f>
        <v>No</v>
      </c>
      <c r="O226" s="66" t="str">
        <f aca="false">IF($A226="","",IF(AND($G226&gt;=Targets!$C$7,$G226&lt;=Targets!$C$8),"Yes","No"))</f>
        <v>No</v>
      </c>
      <c r="P226" s="66" t="str">
        <f aca="false">IF($A226="","",IF(AND($H226&lt;&gt;"",$H226&gt;=Targets!$C$7,$H226&lt;=Targets!$C$8),"Yes","No"))</f>
        <v>No</v>
      </c>
      <c r="Q226" s="66" t="str">
        <f aca="false">IF($A226="","",IF(AND($F226="Project",$E226&lt;&gt;"Closed",$E226&lt;&gt;"Dormant"),"Yes","No"))</f>
        <v>No</v>
      </c>
      <c r="R226" s="66" t="str">
        <f aca="false">IF($A226="","",IF(AND($L226="In-house",OR($E226="Intake",$E226="Active",$E226="Waiting")),"Yes","No"))</f>
        <v>No</v>
      </c>
      <c r="S226" s="66" t="str">
        <f aca="false">IF($A226="","",$C226&amp;" | "&amp;$D226)</f>
        <v>Immigration and visas | Approved, renewal window tracked</v>
      </c>
      <c r="T226" s="66" t="str">
        <f aca="false">IF($A226="","",IF(AND($L226="Outside provider",OR($E226="Intake",$E226="Active",$E226="Waiting")),"Yes","No"))</f>
        <v>No</v>
      </c>
    </row>
    <row r="227" customFormat="false" ht="15" hidden="false" customHeight="true" outlineLevel="0" collapsed="false">
      <c r="A227" s="67" t="s">
        <v>849</v>
      </c>
      <c r="B227" s="67" t="s">
        <v>850</v>
      </c>
      <c r="C227" s="67" t="s">
        <v>487</v>
      </c>
      <c r="D227" s="67" t="s">
        <v>601</v>
      </c>
      <c r="E227" s="67" t="str">
        <f aca="false">IF($A227="","",IFERROR(INDEX('Status map'!$D$6:$D$64,MATCH($C227&amp;" | "&amp;$D227,'Status map'!$I$6:$I$64,0)),"Unmapped"))</f>
        <v>Closed</v>
      </c>
      <c r="F227" s="67" t="s">
        <v>482</v>
      </c>
      <c r="G227" s="70" t="n">
        <v>45952</v>
      </c>
      <c r="H227" s="70" t="n">
        <v>46242</v>
      </c>
      <c r="I227" s="70" t="n">
        <v>46242</v>
      </c>
      <c r="J227" s="67" t="s">
        <v>462</v>
      </c>
      <c r="K227" s="67" t="s">
        <v>492</v>
      </c>
      <c r="L227" s="67" t="s">
        <v>451</v>
      </c>
      <c r="M227" s="66" t="str">
        <f aca="false">IF(OR($A227="",$H227&lt;&gt;""),"",Targets!$C$8-$I227)</f>
        <v/>
      </c>
      <c r="N227" s="66" t="str">
        <f aca="false">IF($A227="","",IF(AND($F227="Project",$E227="Active",$M227&lt;&gt;"",$M227&gt;Targets!$C$12),"Yes","No"))</f>
        <v>No</v>
      </c>
      <c r="O227" s="66" t="str">
        <f aca="false">IF($A227="","",IF(AND($G227&gt;=Targets!$C$7,$G227&lt;=Targets!$C$8),"Yes","No"))</f>
        <v>No</v>
      </c>
      <c r="P227" s="66" t="str">
        <f aca="false">IF($A227="","",IF(AND($H227&lt;&gt;"",$H227&gt;=Targets!$C$7,$H227&lt;=Targets!$C$8),"Yes","No"))</f>
        <v>Yes</v>
      </c>
      <c r="Q227" s="66" t="str">
        <f aca="false">IF($A227="","",IF(AND($F227="Project",$E227&lt;&gt;"Closed",$E227&lt;&gt;"Dormant"),"Yes","No"))</f>
        <v>No</v>
      </c>
      <c r="R227" s="66" t="str">
        <f aca="false">IF($A227="","",IF(AND($L227="In-house",OR($E227="Intake",$E227="Active",$E227="Waiting")),"Yes","No"))</f>
        <v>No</v>
      </c>
      <c r="S227" s="66" t="str">
        <f aca="false">IF($A227="","",$C227&amp;" | "&amp;$D227)</f>
        <v>Corporate and entity management | Entity dissolved</v>
      </c>
      <c r="T227" s="66" t="str">
        <f aca="false">IF($A227="","",IF(AND($L227="Outside provider",OR($E227="Intake",$E227="Active",$E227="Waiting")),"Yes","No"))</f>
        <v>No</v>
      </c>
    </row>
    <row r="228" customFormat="false" ht="15" hidden="false" customHeight="true" outlineLevel="0" collapsed="false">
      <c r="A228" s="63" t="s">
        <v>851</v>
      </c>
      <c r="B228" s="63" t="s">
        <v>852</v>
      </c>
      <c r="C228" s="63" t="s">
        <v>459</v>
      </c>
      <c r="D228" s="63" t="s">
        <v>491</v>
      </c>
      <c r="E228" s="63" t="str">
        <f aca="false">IF($A228="","",IFERROR(INDEX('Status map'!$D$6:$D$64,MATCH($C228&amp;" | "&amp;$D228,'Status map'!$I$6:$I$64,0)),"Unmapped"))</f>
        <v>Active</v>
      </c>
      <c r="F228" s="63" t="s">
        <v>448</v>
      </c>
      <c r="G228" s="69" t="n">
        <v>45946</v>
      </c>
      <c r="H228" s="69"/>
      <c r="I228" s="69" t="n">
        <v>46245</v>
      </c>
      <c r="J228" s="63" t="s">
        <v>449</v>
      </c>
      <c r="K228" s="63" t="s">
        <v>470</v>
      </c>
      <c r="L228" s="63" t="s">
        <v>451</v>
      </c>
      <c r="M228" s="66" t="n">
        <f aca="false">IF(OR($A228="",$H228&lt;&gt;""),"",Targets!$C$8-$I228)</f>
        <v>20</v>
      </c>
      <c r="N228" s="66" t="str">
        <f aca="false">IF($A228="","",IF(AND($F228="Project",$E228="Active",$M228&lt;&gt;"",$M228&gt;Targets!$C$12),"Yes","No"))</f>
        <v>No</v>
      </c>
      <c r="O228" s="66" t="str">
        <f aca="false">IF($A228="","",IF(AND($G228&gt;=Targets!$C$7,$G228&lt;=Targets!$C$8),"Yes","No"))</f>
        <v>No</v>
      </c>
      <c r="P228" s="66" t="str">
        <f aca="false">IF($A228="","",IF(AND($H228&lt;&gt;"",$H228&gt;=Targets!$C$7,$H228&lt;=Targets!$C$8),"Yes","No"))</f>
        <v>No</v>
      </c>
      <c r="Q228" s="66" t="str">
        <f aca="false">IF($A228="","",IF(AND($F228="Project",$E228&lt;&gt;"Closed",$E228&lt;&gt;"Dormant"),"Yes","No"))</f>
        <v>Yes</v>
      </c>
      <c r="R228" s="66" t="str">
        <f aca="false">IF($A228="","",IF(AND($L228="In-house",OR($E228="Intake",$E228="Active",$E228="Waiting")),"Yes","No"))</f>
        <v>Yes</v>
      </c>
      <c r="S228" s="66" t="str">
        <f aca="false">IF($A228="","",$C228&amp;" | "&amp;$D228)</f>
        <v>Contracts | Drafting, review, or negotiation</v>
      </c>
      <c r="T228" s="66" t="str">
        <f aca="false">IF($A228="","",IF(AND($L228="Outside provider",OR($E228="Intake",$E228="Active",$E228="Waiting")),"Yes","No"))</f>
        <v>No</v>
      </c>
    </row>
    <row r="229" customFormat="false" ht="15" hidden="false" customHeight="true" outlineLevel="0" collapsed="false">
      <c r="A229" s="67" t="s">
        <v>853</v>
      </c>
      <c r="B229" s="67" t="s">
        <v>854</v>
      </c>
      <c r="C229" s="67" t="s">
        <v>454</v>
      </c>
      <c r="D229" s="67" t="s">
        <v>455</v>
      </c>
      <c r="E229" s="67" t="str">
        <f aca="false">IF($A229="","",IFERROR(INDEX('Status map'!$D$6:$D$64,MATCH($C229&amp;" | "&amp;$D229,'Status map'!$I$6:$I$64,0)),"Unmapped"))</f>
        <v>Closed</v>
      </c>
      <c r="F229" s="67" t="s">
        <v>448</v>
      </c>
      <c r="G229" s="70" t="n">
        <v>46072</v>
      </c>
      <c r="H229" s="70" t="n">
        <v>46254</v>
      </c>
      <c r="I229" s="70" t="n">
        <v>46254</v>
      </c>
      <c r="J229" s="67" t="s">
        <v>474</v>
      </c>
      <c r="K229" s="67" t="s">
        <v>449</v>
      </c>
      <c r="L229" s="67" t="s">
        <v>451</v>
      </c>
      <c r="M229" s="66" t="str">
        <f aca="false">IF(OR($A229="",$H229&lt;&gt;""),"",Targets!$C$8-$I229)</f>
        <v/>
      </c>
      <c r="N229" s="66" t="str">
        <f aca="false">IF($A229="","",IF(AND($F229="Project",$E229="Active",$M229&lt;&gt;"",$M229&gt;Targets!$C$12),"Yes","No"))</f>
        <v>No</v>
      </c>
      <c r="O229" s="66" t="str">
        <f aca="false">IF($A229="","",IF(AND($G229&gt;=Targets!$C$7,$G229&lt;=Targets!$C$8),"Yes","No"))</f>
        <v>No</v>
      </c>
      <c r="P229" s="66" t="str">
        <f aca="false">IF($A229="","",IF(AND($H229&lt;&gt;"",$H229&gt;=Targets!$C$7,$H229&lt;=Targets!$C$8),"Yes","No"))</f>
        <v>Yes</v>
      </c>
      <c r="Q229" s="66" t="str">
        <f aca="false">IF($A229="","",IF(AND($F229="Project",$E229&lt;&gt;"Closed",$E229&lt;&gt;"Dormant"),"Yes","No"))</f>
        <v>No</v>
      </c>
      <c r="R229" s="66" t="str">
        <f aca="false">IF($A229="","",IF(AND($L229="In-house",OR($E229="Intake",$E229="Active",$E229="Waiting")),"Yes","No"))</f>
        <v>No</v>
      </c>
      <c r="S229" s="66" t="str">
        <f aca="false">IF($A229="","",$C229&amp;" | "&amp;$D229)</f>
        <v>Litigation | Settled, dismissed, or judgment entered</v>
      </c>
      <c r="T229" s="66" t="str">
        <f aca="false">IF($A229="","",IF(AND($L229="Outside provider",OR($E229="Intake",$E229="Active",$E229="Waiting")),"Yes","No"))</f>
        <v>No</v>
      </c>
    </row>
    <row r="230" customFormat="false" ht="15" hidden="false" customHeight="true" outlineLevel="0" collapsed="false">
      <c r="A230" s="63" t="s">
        <v>855</v>
      </c>
      <c r="B230" s="63" t="s">
        <v>856</v>
      </c>
      <c r="C230" s="63" t="s">
        <v>501</v>
      </c>
      <c r="D230" s="63" t="s">
        <v>531</v>
      </c>
      <c r="E230" s="63" t="str">
        <f aca="false">IF($A230="","",IFERROR(INDEX('Status map'!$D$6:$D$64,MATCH($C230&amp;" | "&amp;$D230,'Status map'!$I$6:$I$64,0)),"Unmapped"))</f>
        <v>Waiting</v>
      </c>
      <c r="F230" s="63" t="s">
        <v>448</v>
      </c>
      <c r="G230" s="69" t="n">
        <v>46179</v>
      </c>
      <c r="H230" s="69"/>
      <c r="I230" s="69" t="n">
        <v>46249</v>
      </c>
      <c r="J230" s="63" t="s">
        <v>449</v>
      </c>
      <c r="K230" s="63" t="s">
        <v>470</v>
      </c>
      <c r="L230" s="63" t="s">
        <v>451</v>
      </c>
      <c r="M230" s="66" t="n">
        <f aca="false">IF(OR($A230="",$H230&lt;&gt;""),"",Targets!$C$8-$I230)</f>
        <v>16</v>
      </c>
      <c r="N230" s="66" t="str">
        <f aca="false">IF($A230="","",IF(AND($F230="Project",$E230="Active",$M230&lt;&gt;"",$M230&gt;Targets!$C$12),"Yes","No"))</f>
        <v>No</v>
      </c>
      <c r="O230" s="66" t="str">
        <f aca="false">IF($A230="","",IF(AND($G230&gt;=Targets!$C$7,$G230&lt;=Targets!$C$8),"Yes","No"))</f>
        <v>No</v>
      </c>
      <c r="P230" s="66" t="str">
        <f aca="false">IF($A230="","",IF(AND($H230&lt;&gt;"",$H230&gt;=Targets!$C$7,$H230&lt;=Targets!$C$8),"Yes","No"))</f>
        <v>No</v>
      </c>
      <c r="Q230" s="66" t="str">
        <f aca="false">IF($A230="","",IF(AND($F230="Project",$E230&lt;&gt;"Closed",$E230&lt;&gt;"Dormant"),"Yes","No"))</f>
        <v>Yes</v>
      </c>
      <c r="R230" s="66" t="str">
        <f aca="false">IF($A230="","",IF(AND($L230="In-house",OR($E230="Intake",$E230="Active",$E230="Waiting")),"Yes","No"))</f>
        <v>Yes</v>
      </c>
      <c r="S230" s="66" t="str">
        <f aca="false">IF($A230="","",$C230&amp;" | "&amp;$D230)</f>
        <v>M&amp;A and corporate deals | Signed, awaiting regulatory approval or closing conditions</v>
      </c>
      <c r="T230" s="66" t="str">
        <f aca="false">IF($A230="","",IF(AND($L230="Outside provider",OR($E230="Intake",$E230="Active",$E230="Waiting")),"Yes","No"))</f>
        <v>No</v>
      </c>
    </row>
    <row r="231" customFormat="false" ht="15" hidden="false" customHeight="true" outlineLevel="0" collapsed="false">
      <c r="A231" s="67" t="s">
        <v>857</v>
      </c>
      <c r="B231" s="67" t="s">
        <v>858</v>
      </c>
      <c r="C231" s="67" t="s">
        <v>459</v>
      </c>
      <c r="D231" s="67" t="s">
        <v>460</v>
      </c>
      <c r="E231" s="67" t="str">
        <f aca="false">IF($A231="","",IFERROR(INDEX('Status map'!$D$6:$D$64,MATCH($C231&amp;" | "&amp;$D231,'Status map'!$I$6:$I$64,0)),"Unmapped"))</f>
        <v>Waiting</v>
      </c>
      <c r="F231" s="67" t="s">
        <v>482</v>
      </c>
      <c r="G231" s="70" t="n">
        <v>46165</v>
      </c>
      <c r="H231" s="70"/>
      <c r="I231" s="70" t="n">
        <v>46250</v>
      </c>
      <c r="J231" s="67" t="s">
        <v>474</v>
      </c>
      <c r="K231" s="67" t="s">
        <v>461</v>
      </c>
      <c r="L231" s="67" t="s">
        <v>451</v>
      </c>
      <c r="M231" s="66" t="n">
        <f aca="false">IF(OR($A231="",$H231&lt;&gt;""),"",Targets!$C$8-$I231)</f>
        <v>15</v>
      </c>
      <c r="N231" s="66" t="str">
        <f aca="false">IF($A231="","",IF(AND($F231="Project",$E231="Active",$M231&lt;&gt;"",$M231&gt;Targets!$C$12),"Yes","No"))</f>
        <v>No</v>
      </c>
      <c r="O231" s="66" t="str">
        <f aca="false">IF($A231="","",IF(AND($G231&gt;=Targets!$C$7,$G231&lt;=Targets!$C$8),"Yes","No"))</f>
        <v>No</v>
      </c>
      <c r="P231" s="66" t="str">
        <f aca="false">IF($A231="","",IF(AND($H231&lt;&gt;"",$H231&gt;=Targets!$C$7,$H231&lt;=Targets!$C$8),"Yes","No"))</f>
        <v>No</v>
      </c>
      <c r="Q231" s="66" t="str">
        <f aca="false">IF($A231="","",IF(AND($F231="Project",$E231&lt;&gt;"Closed",$E231&lt;&gt;"Dormant"),"Yes","No"))</f>
        <v>No</v>
      </c>
      <c r="R231" s="66" t="str">
        <f aca="false">IF($A231="","",IF(AND($L231="In-house",OR($E231="Intake",$E231="Active",$E231="Waiting")),"Yes","No"))</f>
        <v>Yes</v>
      </c>
      <c r="S231" s="66" t="str">
        <f aca="false">IF($A231="","",$C231&amp;" | "&amp;$D231)</f>
        <v>Contracts | Out for signature or awaiting the counterparty</v>
      </c>
      <c r="T231" s="66" t="str">
        <f aca="false">IF($A231="","",IF(AND($L231="Outside provider",OR($E231="Intake",$E231="Active",$E231="Waiting")),"Yes","No"))</f>
        <v>No</v>
      </c>
    </row>
    <row r="232" customFormat="false" ht="15" hidden="false" customHeight="true" outlineLevel="0" collapsed="false">
      <c r="A232" s="63" t="s">
        <v>859</v>
      </c>
      <c r="B232" s="63" t="s">
        <v>860</v>
      </c>
      <c r="C232" s="63" t="s">
        <v>501</v>
      </c>
      <c r="D232" s="63" t="s">
        <v>683</v>
      </c>
      <c r="E232" s="63" t="str">
        <f aca="false">IF($A232="","",IFERROR(INDEX('Status map'!$D$6:$D$64,MATCH($C232&amp;" | "&amp;$D232,'Status map'!$I$6:$I$64,0)),"Unmapped"))</f>
        <v>Active</v>
      </c>
      <c r="F232" s="63" t="s">
        <v>448</v>
      </c>
      <c r="G232" s="69" t="n">
        <v>46240</v>
      </c>
      <c r="H232" s="69"/>
      <c r="I232" s="69" t="n">
        <v>46241</v>
      </c>
      <c r="J232" s="63" t="s">
        <v>462</v>
      </c>
      <c r="K232" s="63" t="s">
        <v>474</v>
      </c>
      <c r="L232" s="63" t="s">
        <v>451</v>
      </c>
      <c r="M232" s="66" t="n">
        <f aca="false">IF(OR($A232="",$H232&lt;&gt;""),"",Targets!$C$8-$I232)</f>
        <v>24</v>
      </c>
      <c r="N232" s="66" t="str">
        <f aca="false">IF($A232="","",IF(AND($F232="Project",$E232="Active",$M232&lt;&gt;"",$M232&gt;Targets!$C$12),"Yes","No"))</f>
        <v>No</v>
      </c>
      <c r="O232" s="66" t="str">
        <f aca="false">IF($A232="","",IF(AND($G232&gt;=Targets!$C$7,$G232&lt;=Targets!$C$8),"Yes","No"))</f>
        <v>Yes</v>
      </c>
      <c r="P232" s="66" t="str">
        <f aca="false">IF($A232="","",IF(AND($H232&lt;&gt;"",$H232&gt;=Targets!$C$7,$H232&lt;=Targets!$C$8),"Yes","No"))</f>
        <v>No</v>
      </c>
      <c r="Q232" s="66" t="str">
        <f aca="false">IF($A232="","",IF(AND($F232="Project",$E232&lt;&gt;"Closed",$E232&lt;&gt;"Dormant"),"Yes","No"))</f>
        <v>Yes</v>
      </c>
      <c r="R232" s="66" t="str">
        <f aca="false">IF($A232="","",IF(AND($L232="In-house",OR($E232="Intake",$E232="Active",$E232="Waiting")),"Yes","No"))</f>
        <v>Yes</v>
      </c>
      <c r="S232" s="66" t="str">
        <f aca="false">IF($A232="","",$C232&amp;" | "&amp;$D232)</f>
        <v>M&amp;A and corporate deals | Due diligence and negotiation underway</v>
      </c>
      <c r="T232" s="66" t="str">
        <f aca="false">IF($A232="","",IF(AND($L232="Outside provider",OR($E232="Intake",$E232="Active",$E232="Waiting")),"Yes","No"))</f>
        <v>No</v>
      </c>
    </row>
    <row r="233" customFormat="false" ht="15" hidden="false" customHeight="true" outlineLevel="0" collapsed="false">
      <c r="A233" s="67" t="s">
        <v>861</v>
      </c>
      <c r="B233" s="67" t="s">
        <v>862</v>
      </c>
      <c r="C233" s="67" t="s">
        <v>459</v>
      </c>
      <c r="D233" s="67" t="s">
        <v>481</v>
      </c>
      <c r="E233" s="67" t="str">
        <f aca="false">IF($A233="","",IFERROR(INDEX('Status map'!$D$6:$D$64,MATCH($C233&amp;" | "&amp;$D233,'Status map'!$I$6:$I$64,0)),"Unmapped"))</f>
        <v>Closed</v>
      </c>
      <c r="F233" s="67" t="s">
        <v>448</v>
      </c>
      <c r="G233" s="70" t="n">
        <v>46260</v>
      </c>
      <c r="H233" s="70" t="n">
        <v>46263</v>
      </c>
      <c r="I233" s="70" t="n">
        <v>46263</v>
      </c>
      <c r="J233" s="67" t="s">
        <v>470</v>
      </c>
      <c r="K233" s="67" t="s">
        <v>474</v>
      </c>
      <c r="L233" s="67" t="s">
        <v>451</v>
      </c>
      <c r="M233" s="66" t="str">
        <f aca="false">IF(OR($A233="",$H233&lt;&gt;""),"",Targets!$C$8-$I233)</f>
        <v/>
      </c>
      <c r="N233" s="66" t="str">
        <f aca="false">IF($A233="","",IF(AND($F233="Project",$E233="Active",$M233&lt;&gt;"",$M233&gt;Targets!$C$12),"Yes","No"))</f>
        <v>No</v>
      </c>
      <c r="O233" s="66" t="str">
        <f aca="false">IF($A233="","",IF(AND($G233&gt;=Targets!$C$7,$G233&lt;=Targets!$C$8),"Yes","No"))</f>
        <v>Yes</v>
      </c>
      <c r="P233" s="66" t="str">
        <f aca="false">IF($A233="","",IF(AND($H233&lt;&gt;"",$H233&gt;=Targets!$C$7,$H233&lt;=Targets!$C$8),"Yes","No"))</f>
        <v>Yes</v>
      </c>
      <c r="Q233" s="66" t="str">
        <f aca="false">IF($A233="","",IF(AND($F233="Project",$E233&lt;&gt;"Closed",$E233&lt;&gt;"Dormant"),"Yes","No"))</f>
        <v>No</v>
      </c>
      <c r="R233" s="66" t="str">
        <f aca="false">IF($A233="","",IF(AND($L233="In-house",OR($E233="Intake",$E233="Active",$E233="Waiting")),"Yes","No"))</f>
        <v>No</v>
      </c>
      <c r="S233" s="66" t="str">
        <f aca="false">IF($A233="","",$C233&amp;" | "&amp;$D233)</f>
        <v>Contracts | Expired or terminated</v>
      </c>
      <c r="T233" s="66" t="str">
        <f aca="false">IF($A233="","",IF(AND($L233="Outside provider",OR($E233="Intake",$E233="Active",$E233="Waiting")),"Yes","No"))</f>
        <v>No</v>
      </c>
    </row>
    <row r="234" customFormat="false" ht="15" hidden="false" customHeight="true" outlineLevel="0" collapsed="false">
      <c r="A234" s="63" t="s">
        <v>863</v>
      </c>
      <c r="B234" s="63" t="s">
        <v>864</v>
      </c>
      <c r="C234" s="63" t="s">
        <v>446</v>
      </c>
      <c r="D234" s="63" t="s">
        <v>473</v>
      </c>
      <c r="E234" s="63" t="str">
        <f aca="false">IF($A234="","",IFERROR(INDEX('Status map'!$D$6:$D$64,MATCH($C234&amp;" | "&amp;$D234,'Status map'!$I$6:$I$64,0)),"Unmapped"))</f>
        <v>Closed</v>
      </c>
      <c r="F234" s="63" t="s">
        <v>448</v>
      </c>
      <c r="G234" s="69" t="n">
        <v>46245</v>
      </c>
      <c r="H234" s="69" t="n">
        <v>46246</v>
      </c>
      <c r="I234" s="69" t="n">
        <v>46246</v>
      </c>
      <c r="J234" s="63" t="s">
        <v>456</v>
      </c>
      <c r="K234" s="63" t="s">
        <v>492</v>
      </c>
      <c r="L234" s="63" t="s">
        <v>451</v>
      </c>
      <c r="M234" s="66" t="str">
        <f aca="false">IF(OR($A234="",$H234&lt;&gt;""),"",Targets!$C$8-$I234)</f>
        <v/>
      </c>
      <c r="N234" s="66" t="str">
        <f aca="false">IF($A234="","",IF(AND($F234="Project",$E234="Active",$M234&lt;&gt;"",$M234&gt;Targets!$C$12),"Yes","No"))</f>
        <v>No</v>
      </c>
      <c r="O234" s="66" t="str">
        <f aca="false">IF($A234="","",IF(AND($G234&gt;=Targets!$C$7,$G234&lt;=Targets!$C$8),"Yes","No"))</f>
        <v>Yes</v>
      </c>
      <c r="P234" s="66" t="str">
        <f aca="false">IF($A234="","",IF(AND($H234&lt;&gt;"",$H234&gt;=Targets!$C$7,$H234&lt;=Targets!$C$8),"Yes","No"))</f>
        <v>Yes</v>
      </c>
      <c r="Q234" s="66" t="str">
        <f aca="false">IF($A234="","",IF(AND($F234="Project",$E234&lt;&gt;"Closed",$E234&lt;&gt;"Dormant"),"Yes","No"))</f>
        <v>No</v>
      </c>
      <c r="R234" s="66" t="str">
        <f aca="false">IF($A234="","",IF(AND($L234="In-house",OR($E234="Intake",$E234="Active",$E234="Waiting")),"Yes","No"))</f>
        <v>No</v>
      </c>
      <c r="S234" s="66" t="str">
        <f aca="false">IF($A234="","",$C234&amp;" | "&amp;$D234)</f>
        <v>Employment | Resolved or closed</v>
      </c>
      <c r="T234" s="66" t="str">
        <f aca="false">IF($A234="","",IF(AND($L234="Outside provider",OR($E234="Intake",$E234="Active",$E234="Waiting")),"Yes","No"))</f>
        <v>No</v>
      </c>
    </row>
    <row r="235" customFormat="false" ht="15" hidden="false" customHeight="true" outlineLevel="0" collapsed="false">
      <c r="A235" s="67" t="s">
        <v>865</v>
      </c>
      <c r="B235" s="67" t="s">
        <v>866</v>
      </c>
      <c r="C235" s="67" t="s">
        <v>501</v>
      </c>
      <c r="D235" s="67" t="s">
        <v>720</v>
      </c>
      <c r="E235" s="67" t="str">
        <f aca="false">IF($A235="","",IFERROR(INDEX('Status map'!$D$6:$D$64,MATCH($C235&amp;" | "&amp;$D235,'Status map'!$I$6:$I$64,0)),"Unmapped"))</f>
        <v>Active</v>
      </c>
      <c r="F235" s="67" t="s">
        <v>448</v>
      </c>
      <c r="G235" s="70" t="n">
        <v>46157</v>
      </c>
      <c r="H235" s="70"/>
      <c r="I235" s="70" t="n">
        <v>46247</v>
      </c>
      <c r="J235" s="67" t="s">
        <v>462</v>
      </c>
      <c r="K235" s="67" t="s">
        <v>449</v>
      </c>
      <c r="L235" s="67" t="s">
        <v>451</v>
      </c>
      <c r="M235" s="66" t="n">
        <f aca="false">IF(OR($A235="",$H235&lt;&gt;""),"",Targets!$C$8-$I235)</f>
        <v>18</v>
      </c>
      <c r="N235" s="66" t="str">
        <f aca="false">IF($A235="","",IF(AND($F235="Project",$E235="Active",$M235&lt;&gt;"",$M235&gt;Targets!$C$12),"Yes","No"))</f>
        <v>No</v>
      </c>
      <c r="O235" s="66" t="str">
        <f aca="false">IF($A235="","",IF(AND($G235&gt;=Targets!$C$7,$G235&lt;=Targets!$C$8),"Yes","No"))</f>
        <v>No</v>
      </c>
      <c r="P235" s="66" t="str">
        <f aca="false">IF($A235="","",IF(AND($H235&lt;&gt;"",$H235&gt;=Targets!$C$7,$H235&lt;=Targets!$C$8),"Yes","No"))</f>
        <v>No</v>
      </c>
      <c r="Q235" s="66" t="str">
        <f aca="false">IF($A235="","",IF(AND($F235="Project",$E235&lt;&gt;"Closed",$E235&lt;&gt;"Dormant"),"Yes","No"))</f>
        <v>Yes</v>
      </c>
      <c r="R235" s="66" t="str">
        <f aca="false">IF($A235="","",IF(AND($L235="In-house",OR($E235="Intake",$E235="Active",$E235="Waiting")),"Yes","No"))</f>
        <v>Yes</v>
      </c>
      <c r="S235" s="66" t="str">
        <f aca="false">IF($A235="","",$C235&amp;" | "&amp;$D235)</f>
        <v>M&amp;A and corporate deals | Term sheet or letter of intent under discussion</v>
      </c>
      <c r="T235" s="66" t="str">
        <f aca="false">IF($A235="","",IF(AND($L235="Outside provider",OR($E235="Intake",$E235="Active",$E235="Waiting")),"Yes","No"))</f>
        <v>No</v>
      </c>
    </row>
    <row r="236" customFormat="false" ht="15" hidden="false" customHeight="true" outlineLevel="0" collapsed="false">
      <c r="A236" s="63" t="s">
        <v>867</v>
      </c>
      <c r="B236" s="63" t="s">
        <v>868</v>
      </c>
      <c r="C236" s="63" t="s">
        <v>487</v>
      </c>
      <c r="D236" s="63" t="s">
        <v>636</v>
      </c>
      <c r="E236" s="63" t="str">
        <f aca="false">IF($A236="","",IFERROR(INDEX('Status map'!$D$6:$D$64,MATCH($C236&amp;" | "&amp;$D236,'Status map'!$I$6:$I$64,0)),"Unmapped"))</f>
        <v>Active</v>
      </c>
      <c r="F236" s="63" t="s">
        <v>482</v>
      </c>
      <c r="G236" s="69" t="n">
        <v>46093</v>
      </c>
      <c r="H236" s="69"/>
      <c r="I236" s="69" t="n">
        <v>46262</v>
      </c>
      <c r="J236" s="63" t="s">
        <v>461</v>
      </c>
      <c r="K236" s="63" t="s">
        <v>461</v>
      </c>
      <c r="L236" s="63" t="s">
        <v>451</v>
      </c>
      <c r="M236" s="66" t="n">
        <f aca="false">IF(OR($A236="",$H236&lt;&gt;""),"",Targets!$C$8-$I236)</f>
        <v>3</v>
      </c>
      <c r="N236" s="66" t="str">
        <f aca="false">IF($A236="","",IF(AND($F236="Project",$E236="Active",$M236&lt;&gt;"",$M236&gt;Targets!$C$12),"Yes","No"))</f>
        <v>No</v>
      </c>
      <c r="O236" s="66" t="str">
        <f aca="false">IF($A236="","",IF(AND($G236&gt;=Targets!$C$7,$G236&lt;=Targets!$C$8),"Yes","No"))</f>
        <v>No</v>
      </c>
      <c r="P236" s="66" t="str">
        <f aca="false">IF($A236="","",IF(AND($H236&lt;&gt;"",$H236&gt;=Targets!$C$7,$H236&lt;=Targets!$C$8),"Yes","No"))</f>
        <v>No</v>
      </c>
      <c r="Q236" s="66" t="str">
        <f aca="false">IF($A236="","",IF(AND($F236="Project",$E236&lt;&gt;"Closed",$E236&lt;&gt;"Dormant"),"Yes","No"))</f>
        <v>No</v>
      </c>
      <c r="R236" s="66" t="str">
        <f aca="false">IF($A236="","",IF(AND($L236="In-house",OR($E236="Intake",$E236="Active",$E236="Waiting")),"Yes","No"))</f>
        <v>Yes</v>
      </c>
      <c r="S236" s="66" t="str">
        <f aca="false">IF($A236="","",$C236&amp;" | "&amp;$D236)</f>
        <v>Corporate and entity management | Formation, change, or dissolution in progress</v>
      </c>
      <c r="T236" s="66" t="str">
        <f aca="false">IF($A236="","",IF(AND($L236="Outside provider",OR($E236="Intake",$E236="Active",$E236="Waiting")),"Yes","No"))</f>
        <v>No</v>
      </c>
    </row>
    <row r="237" customFormat="false" ht="15" hidden="false" customHeight="true" outlineLevel="0" collapsed="false">
      <c r="A237" s="67" t="s">
        <v>869</v>
      </c>
      <c r="B237" s="67" t="s">
        <v>870</v>
      </c>
      <c r="C237" s="67" t="s">
        <v>454</v>
      </c>
      <c r="D237" s="67" t="s">
        <v>871</v>
      </c>
      <c r="E237" s="67" t="str">
        <f aca="false">IF($A237="","",IFERROR(INDEX('Status map'!$D$6:$D$64,MATCH($C237&amp;" | "&amp;$D237,'Status map'!$I$6:$I$64,0)),"Unmapped"))</f>
        <v>Intake</v>
      </c>
      <c r="F237" s="67" t="s">
        <v>448</v>
      </c>
      <c r="G237" s="70" t="n">
        <v>45945</v>
      </c>
      <c r="H237" s="70"/>
      <c r="I237" s="70" t="n">
        <v>46251</v>
      </c>
      <c r="J237" s="67" t="s">
        <v>492</v>
      </c>
      <c r="K237" s="67" t="s">
        <v>449</v>
      </c>
      <c r="L237" s="67" t="s">
        <v>451</v>
      </c>
      <c r="M237" s="66" t="n">
        <f aca="false">IF(OR($A237="",$H237&lt;&gt;""),"",Targets!$C$8-$I237)</f>
        <v>14</v>
      </c>
      <c r="N237" s="66" t="str">
        <f aca="false">IF($A237="","",IF(AND($F237="Project",$E237="Active",$M237&lt;&gt;"",$M237&gt;Targets!$C$12),"Yes","No"))</f>
        <v>No</v>
      </c>
      <c r="O237" s="66" t="str">
        <f aca="false">IF($A237="","",IF(AND($G237&gt;=Targets!$C$7,$G237&lt;=Targets!$C$8),"Yes","No"))</f>
        <v>No</v>
      </c>
      <c r="P237" s="66" t="str">
        <f aca="false">IF($A237="","",IF(AND($H237&lt;&gt;"",$H237&gt;=Targets!$C$7,$H237&lt;=Targets!$C$8),"Yes","No"))</f>
        <v>No</v>
      </c>
      <c r="Q237" s="66" t="str">
        <f aca="false">IF($A237="","",IF(AND($F237="Project",$E237&lt;&gt;"Closed",$E237&lt;&gt;"Dormant"),"Yes","No"))</f>
        <v>Yes</v>
      </c>
      <c r="R237" s="66" t="str">
        <f aca="false">IF($A237="","",IF(AND($L237="In-house",OR($E237="Intake",$E237="Active",$E237="Waiting")),"Yes","No"))</f>
        <v>Yes</v>
      </c>
      <c r="S237" s="66" t="str">
        <f aca="false">IF($A237="","",$C237&amp;" | "&amp;$D237)</f>
        <v>Litigation | Pre-suit or demand received</v>
      </c>
      <c r="T237" s="66" t="str">
        <f aca="false">IF($A237="","",IF(AND($L237="Outside provider",OR($E237="Intake",$E237="Active",$E237="Waiting")),"Yes","No"))</f>
        <v>No</v>
      </c>
    </row>
    <row r="238" customFormat="false" ht="15" hidden="false" customHeight="true" outlineLevel="0" collapsed="false">
      <c r="A238" s="63" t="s">
        <v>872</v>
      </c>
      <c r="B238" s="63" t="s">
        <v>873</v>
      </c>
      <c r="C238" s="63" t="s">
        <v>501</v>
      </c>
      <c r="D238" s="63" t="s">
        <v>502</v>
      </c>
      <c r="E238" s="63" t="str">
        <f aca="false">IF($A238="","",IFERROR(INDEX('Status map'!$D$6:$D$64,MATCH($C238&amp;" | "&amp;$D238,'Status map'!$I$6:$I$64,0)),"Unmapped"))</f>
        <v>Closed</v>
      </c>
      <c r="F238" s="63" t="s">
        <v>448</v>
      </c>
      <c r="G238" s="69" t="n">
        <v>46215</v>
      </c>
      <c r="H238" s="69" t="n">
        <v>46263</v>
      </c>
      <c r="I238" s="69" t="n">
        <v>46263</v>
      </c>
      <c r="J238" s="63" t="s">
        <v>456</v>
      </c>
      <c r="K238" s="63" t="s">
        <v>470</v>
      </c>
      <c r="L238" s="63" t="s">
        <v>451</v>
      </c>
      <c r="M238" s="66" t="str">
        <f aca="false">IF(OR($A238="",$H238&lt;&gt;""),"",Targets!$C$8-$I238)</f>
        <v/>
      </c>
      <c r="N238" s="66" t="str">
        <f aca="false">IF($A238="","",IF(AND($F238="Project",$E238="Active",$M238&lt;&gt;"",$M238&gt;Targets!$C$12),"Yes","No"))</f>
        <v>No</v>
      </c>
      <c r="O238" s="66" t="str">
        <f aca="false">IF($A238="","",IF(AND($G238&gt;=Targets!$C$7,$G238&lt;=Targets!$C$8),"Yes","No"))</f>
        <v>No</v>
      </c>
      <c r="P238" s="66" t="str">
        <f aca="false">IF($A238="","",IF(AND($H238&lt;&gt;"",$H238&gt;=Targets!$C$7,$H238&lt;=Targets!$C$8),"Yes","No"))</f>
        <v>Yes</v>
      </c>
      <c r="Q238" s="66" t="str">
        <f aca="false">IF($A238="","",IF(AND($F238="Project",$E238&lt;&gt;"Closed",$E238&lt;&gt;"Dormant"),"Yes","No"))</f>
        <v>No</v>
      </c>
      <c r="R238" s="66" t="str">
        <f aca="false">IF($A238="","",IF(AND($L238="In-house",OR($E238="Intake",$E238="Active",$E238="Waiting")),"Yes","No"))</f>
        <v>No</v>
      </c>
      <c r="S238" s="66" t="str">
        <f aca="false">IF($A238="","",$C238&amp;" | "&amp;$D238)</f>
        <v>M&amp;A and corporate deals | Deal closed</v>
      </c>
      <c r="T238" s="66" t="str">
        <f aca="false">IF($A238="","",IF(AND($L238="Outside provider",OR($E238="Intake",$E238="Active",$E238="Waiting")),"Yes","No"))</f>
        <v>No</v>
      </c>
    </row>
    <row r="239" customFormat="false" ht="15" hidden="false" customHeight="true" outlineLevel="0" collapsed="false">
      <c r="A239" s="67" t="s">
        <v>874</v>
      </c>
      <c r="B239" s="67" t="s">
        <v>736</v>
      </c>
      <c r="C239" s="67" t="s">
        <v>459</v>
      </c>
      <c r="D239" s="67" t="s">
        <v>491</v>
      </c>
      <c r="E239" s="67" t="str">
        <f aca="false">IF($A239="","",IFERROR(INDEX('Status map'!$D$6:$D$64,MATCH($C239&amp;" | "&amp;$D239,'Status map'!$I$6:$I$64,0)),"Unmapped"))</f>
        <v>Active</v>
      </c>
      <c r="F239" s="67" t="s">
        <v>482</v>
      </c>
      <c r="G239" s="70" t="n">
        <v>46116</v>
      </c>
      <c r="H239" s="70"/>
      <c r="I239" s="70" t="n">
        <v>46259</v>
      </c>
      <c r="J239" s="67" t="s">
        <v>470</v>
      </c>
      <c r="K239" s="67" t="s">
        <v>461</v>
      </c>
      <c r="L239" s="67" t="s">
        <v>451</v>
      </c>
      <c r="M239" s="66" t="n">
        <f aca="false">IF(OR($A239="",$H239&lt;&gt;""),"",Targets!$C$8-$I239)</f>
        <v>6</v>
      </c>
      <c r="N239" s="66" t="str">
        <f aca="false">IF($A239="","",IF(AND($F239="Project",$E239="Active",$M239&lt;&gt;"",$M239&gt;Targets!$C$12),"Yes","No"))</f>
        <v>No</v>
      </c>
      <c r="O239" s="66" t="str">
        <f aca="false">IF($A239="","",IF(AND($G239&gt;=Targets!$C$7,$G239&lt;=Targets!$C$8),"Yes","No"))</f>
        <v>No</v>
      </c>
      <c r="P239" s="66" t="str">
        <f aca="false">IF($A239="","",IF(AND($H239&lt;&gt;"",$H239&gt;=Targets!$C$7,$H239&lt;=Targets!$C$8),"Yes","No"))</f>
        <v>No</v>
      </c>
      <c r="Q239" s="66" t="str">
        <f aca="false">IF($A239="","",IF(AND($F239="Project",$E239&lt;&gt;"Closed",$E239&lt;&gt;"Dormant"),"Yes","No"))</f>
        <v>No</v>
      </c>
      <c r="R239" s="66" t="str">
        <f aca="false">IF($A239="","",IF(AND($L239="In-house",OR($E239="Intake",$E239="Active",$E239="Waiting")),"Yes","No"))</f>
        <v>Yes</v>
      </c>
      <c r="S239" s="66" t="str">
        <f aca="false">IF($A239="","",$C239&amp;" | "&amp;$D239)</f>
        <v>Contracts | Drafting, review, or negotiation</v>
      </c>
      <c r="T239" s="66" t="str">
        <f aca="false">IF($A239="","",IF(AND($L239="Outside provider",OR($E239="Intake",$E239="Active",$E239="Waiting")),"Yes","No"))</f>
        <v>No</v>
      </c>
    </row>
    <row r="240" customFormat="false" ht="15" hidden="false" customHeight="true" outlineLevel="0" collapsed="false">
      <c r="A240" s="63" t="s">
        <v>875</v>
      </c>
      <c r="B240" s="63" t="s">
        <v>535</v>
      </c>
      <c r="C240" s="63" t="s">
        <v>446</v>
      </c>
      <c r="D240" s="63" t="s">
        <v>563</v>
      </c>
      <c r="E240" s="63" t="str">
        <f aca="false">IF($A240="","",IFERROR(INDEX('Status map'!$D$6:$D$64,MATCH($C240&amp;" | "&amp;$D240,'Status map'!$I$6:$I$64,0)),"Unmapped"))</f>
        <v>Waiting</v>
      </c>
      <c r="F240" s="63" t="s">
        <v>482</v>
      </c>
      <c r="G240" s="69" t="n">
        <v>46140</v>
      </c>
      <c r="H240" s="69"/>
      <c r="I240" s="69" t="n">
        <v>46245</v>
      </c>
      <c r="J240" s="63" t="s">
        <v>456</v>
      </c>
      <c r="K240" s="63" t="s">
        <v>461</v>
      </c>
      <c r="L240" s="63" t="s">
        <v>451</v>
      </c>
      <c r="M240" s="66" t="n">
        <f aca="false">IF(OR($A240="",$H240&lt;&gt;""),"",Targets!$C$8-$I240)</f>
        <v>20</v>
      </c>
      <c r="N240" s="66" t="str">
        <f aca="false">IF($A240="","",IF(AND($F240="Project",$E240="Active",$M240&lt;&gt;"",$M240&gt;Targets!$C$12),"Yes","No"))</f>
        <v>No</v>
      </c>
      <c r="O240" s="66" t="str">
        <f aca="false">IF($A240="","",IF(AND($G240&gt;=Targets!$C$7,$G240&lt;=Targets!$C$8),"Yes","No"))</f>
        <v>No</v>
      </c>
      <c r="P240" s="66" t="str">
        <f aca="false">IF($A240="","",IF(AND($H240&lt;&gt;"",$H240&gt;=Targets!$C$7,$H240&lt;=Targets!$C$8),"Yes","No"))</f>
        <v>No</v>
      </c>
      <c r="Q240" s="66" t="str">
        <f aca="false">IF($A240="","",IF(AND($F240="Project",$E240&lt;&gt;"Closed",$E240&lt;&gt;"Dormant"),"Yes","No"))</f>
        <v>No</v>
      </c>
      <c r="R240" s="66" t="str">
        <f aca="false">IF($A240="","",IF(AND($L240="In-house",OR($E240="Intake",$E240="Active",$E240="Waiting")),"Yes","No"))</f>
        <v>Yes</v>
      </c>
      <c r="S240" s="66" t="str">
        <f aca="false">IF($A240="","",$C240&amp;" | "&amp;$D240)</f>
        <v>Employment | Awaiting the employee, an agency, or outside counsel</v>
      </c>
      <c r="T240" s="66" t="str">
        <f aca="false">IF($A240="","",IF(AND($L240="Outside provider",OR($E240="Intake",$E240="Active",$E240="Waiting")),"Yes","No"))</f>
        <v>No</v>
      </c>
    </row>
    <row r="241" customFormat="false" ht="15" hidden="false" customHeight="true" outlineLevel="0" collapsed="false">
      <c r="A241" s="67" t="s">
        <v>876</v>
      </c>
      <c r="B241" s="67" t="s">
        <v>743</v>
      </c>
      <c r="C241" s="67" t="s">
        <v>501</v>
      </c>
      <c r="D241" s="67" t="s">
        <v>517</v>
      </c>
      <c r="E241" s="67" t="str">
        <f aca="false">IF($A241="","",IFERROR(INDEX('Status map'!$D$6:$D$64,MATCH($C241&amp;" | "&amp;$D241,'Status map'!$I$6:$I$64,0)),"Unmapped"))</f>
        <v>Dormant</v>
      </c>
      <c r="F241" s="67" t="s">
        <v>510</v>
      </c>
      <c r="G241" s="70" t="n">
        <v>43989</v>
      </c>
      <c r="H241" s="70"/>
      <c r="I241" s="70" t="n">
        <v>46027</v>
      </c>
      <c r="J241" s="67" t="s">
        <v>456</v>
      </c>
      <c r="K241" s="67" t="s">
        <v>450</v>
      </c>
      <c r="L241" s="67" t="s">
        <v>451</v>
      </c>
      <c r="M241" s="66" t="n">
        <f aca="false">IF(OR($A241="",$H241&lt;&gt;""),"",Targets!$C$8-$I241)</f>
        <v>238</v>
      </c>
      <c r="N241" s="66" t="str">
        <f aca="false">IF($A241="","",IF(AND($F241="Project",$E241="Active",$M241&lt;&gt;"",$M241&gt;Targets!$C$12),"Yes","No"))</f>
        <v>No</v>
      </c>
      <c r="O241" s="66" t="str">
        <f aca="false">IF($A241="","",IF(AND($G241&gt;=Targets!$C$7,$G241&lt;=Targets!$C$8),"Yes","No"))</f>
        <v>No</v>
      </c>
      <c r="P241" s="66" t="str">
        <f aca="false">IF($A241="","",IF(AND($H241&lt;&gt;"",$H241&gt;=Targets!$C$7,$H241&lt;=Targets!$C$8),"Yes","No"))</f>
        <v>No</v>
      </c>
      <c r="Q241" s="66" t="str">
        <f aca="false">IF($A241="","",IF(AND($F241="Project",$E241&lt;&gt;"Closed",$E241&lt;&gt;"Dormant"),"Yes","No"))</f>
        <v>No</v>
      </c>
      <c r="R241" s="66" t="str">
        <f aca="false">IF($A241="","",IF(AND($L241="In-house",OR($E241="Intake",$E241="Active",$E241="Waiting")),"Yes","No"))</f>
        <v>No</v>
      </c>
      <c r="S241" s="66" t="str">
        <f aca="false">IF($A241="","",$C241&amp;" | "&amp;$D241)</f>
        <v>M&amp;A and corporate deals | Post-closing obligations tracked</v>
      </c>
      <c r="T241" s="66" t="str">
        <f aca="false">IF($A241="","",IF(AND($L241="Outside provider",OR($E241="Intake",$E241="Active",$E241="Waiting")),"Yes","No"))</f>
        <v>No</v>
      </c>
    </row>
    <row r="242" customFormat="false" ht="15" hidden="false" customHeight="true" outlineLevel="0" collapsed="false">
      <c r="A242" s="63" t="s">
        <v>877</v>
      </c>
      <c r="B242" s="63" t="s">
        <v>712</v>
      </c>
      <c r="C242" s="63" t="s">
        <v>459</v>
      </c>
      <c r="D242" s="63" t="s">
        <v>534</v>
      </c>
      <c r="E242" s="63" t="str">
        <f aca="false">IF($A242="","",IFERROR(INDEX('Status map'!$D$6:$D$64,MATCH($C242&amp;" | "&amp;$D242,'Status map'!$I$6:$I$64,0)),"Unmapped"))</f>
        <v>Dormant</v>
      </c>
      <c r="F242" s="63" t="s">
        <v>510</v>
      </c>
      <c r="G242" s="69" t="n">
        <v>43909</v>
      </c>
      <c r="H242" s="69"/>
      <c r="I242" s="69" t="n">
        <v>46077</v>
      </c>
      <c r="J242" s="63" t="s">
        <v>456</v>
      </c>
      <c r="K242" s="63" t="s">
        <v>461</v>
      </c>
      <c r="L242" s="63" t="s">
        <v>451</v>
      </c>
      <c r="M242" s="66" t="n">
        <f aca="false">IF(OR($A242="",$H242&lt;&gt;""),"",Targets!$C$8-$I242)</f>
        <v>188</v>
      </c>
      <c r="N242" s="66" t="str">
        <f aca="false">IF($A242="","",IF(AND($F242="Project",$E242="Active",$M242&lt;&gt;"",$M242&gt;Targets!$C$12),"Yes","No"))</f>
        <v>No</v>
      </c>
      <c r="O242" s="66" t="str">
        <f aca="false">IF($A242="","",IF(AND($G242&gt;=Targets!$C$7,$G242&lt;=Targets!$C$8),"Yes","No"))</f>
        <v>No</v>
      </c>
      <c r="P242" s="66" t="str">
        <f aca="false">IF($A242="","",IF(AND($H242&lt;&gt;"",$H242&gt;=Targets!$C$7,$H242&lt;=Targets!$C$8),"Yes","No"))</f>
        <v>No</v>
      </c>
      <c r="Q242" s="66" t="str">
        <f aca="false">IF($A242="","",IF(AND($F242="Project",$E242&lt;&gt;"Closed",$E242&lt;&gt;"Dormant"),"Yes","No"))</f>
        <v>No</v>
      </c>
      <c r="R242" s="66" t="str">
        <f aca="false">IF($A242="","",IF(AND($L242="In-house",OR($E242="Intake",$E242="Active",$E242="Waiting")),"Yes","No"))</f>
        <v>No</v>
      </c>
      <c r="S242" s="66" t="str">
        <f aca="false">IF($A242="","",$C242&amp;" | "&amp;$D242)</f>
        <v>Contracts | Standing agreement tracked for renewal</v>
      </c>
      <c r="T242" s="66" t="str">
        <f aca="false">IF($A242="","",IF(AND($L242="Outside provider",OR($E242="Intake",$E242="Active",$E242="Waiting")),"Yes","No"))</f>
        <v>No</v>
      </c>
    </row>
    <row r="243" customFormat="false" ht="15" hidden="false" customHeight="true" outlineLevel="0" collapsed="false">
      <c r="A243" s="67" t="s">
        <v>878</v>
      </c>
      <c r="B243" s="67" t="s">
        <v>540</v>
      </c>
      <c r="C243" s="67" t="s">
        <v>501</v>
      </c>
      <c r="D243" s="67" t="s">
        <v>517</v>
      </c>
      <c r="E243" s="67" t="str">
        <f aca="false">IF($A243="","",IFERROR(INDEX('Status map'!$D$6:$D$64,MATCH($C243&amp;" | "&amp;$D243,'Status map'!$I$6:$I$64,0)),"Unmapped"))</f>
        <v>Dormant</v>
      </c>
      <c r="F243" s="67" t="s">
        <v>510</v>
      </c>
      <c r="G243" s="70" t="n">
        <v>44422</v>
      </c>
      <c r="H243" s="70"/>
      <c r="I243" s="70" t="n">
        <v>46138</v>
      </c>
      <c r="J243" s="67" t="s">
        <v>462</v>
      </c>
      <c r="K243" s="67" t="s">
        <v>450</v>
      </c>
      <c r="L243" s="67" t="s">
        <v>451</v>
      </c>
      <c r="M243" s="66" t="n">
        <f aca="false">IF(OR($A243="",$H243&lt;&gt;""),"",Targets!$C$8-$I243)</f>
        <v>127</v>
      </c>
      <c r="N243" s="66" t="str">
        <f aca="false">IF($A243="","",IF(AND($F243="Project",$E243="Active",$M243&lt;&gt;"",$M243&gt;Targets!$C$12),"Yes","No"))</f>
        <v>No</v>
      </c>
      <c r="O243" s="66" t="str">
        <f aca="false">IF($A243="","",IF(AND($G243&gt;=Targets!$C$7,$G243&lt;=Targets!$C$8),"Yes","No"))</f>
        <v>No</v>
      </c>
      <c r="P243" s="66" t="str">
        <f aca="false">IF($A243="","",IF(AND($H243&lt;&gt;"",$H243&gt;=Targets!$C$7,$H243&lt;=Targets!$C$8),"Yes","No"))</f>
        <v>No</v>
      </c>
      <c r="Q243" s="66" t="str">
        <f aca="false">IF($A243="","",IF(AND($F243="Project",$E243&lt;&gt;"Closed",$E243&lt;&gt;"Dormant"),"Yes","No"))</f>
        <v>No</v>
      </c>
      <c r="R243" s="66" t="str">
        <f aca="false">IF($A243="","",IF(AND($L243="In-house",OR($E243="Intake",$E243="Active",$E243="Waiting")),"Yes","No"))</f>
        <v>No</v>
      </c>
      <c r="S243" s="66" t="str">
        <f aca="false">IF($A243="","",$C243&amp;" | "&amp;$D243)</f>
        <v>M&amp;A and corporate deals | Post-closing obligations tracked</v>
      </c>
      <c r="T243" s="66" t="str">
        <f aca="false">IF($A243="","",IF(AND($L243="Outside provider",OR($E243="Intake",$E243="Active",$E243="Waiting")),"Yes","No"))</f>
        <v>No</v>
      </c>
    </row>
    <row r="244" customFormat="false" ht="15" hidden="false" customHeight="true" outlineLevel="0" collapsed="false">
      <c r="A244" s="63" t="s">
        <v>879</v>
      </c>
      <c r="B244" s="63" t="s">
        <v>880</v>
      </c>
      <c r="C244" s="63" t="s">
        <v>454</v>
      </c>
      <c r="D244" s="63" t="s">
        <v>514</v>
      </c>
      <c r="E244" s="63" t="str">
        <f aca="false">IF($A244="","",IFERROR(INDEX('Status map'!$D$6:$D$64,MATCH($C244&amp;" | "&amp;$D244,'Status map'!$I$6:$I$64,0)),"Unmapped"))</f>
        <v>Active</v>
      </c>
      <c r="F244" s="63" t="s">
        <v>448</v>
      </c>
      <c r="G244" s="69" t="n">
        <v>46254</v>
      </c>
      <c r="H244" s="69"/>
      <c r="I244" s="69" t="n">
        <v>46198</v>
      </c>
      <c r="J244" s="63" t="s">
        <v>470</v>
      </c>
      <c r="K244" s="63" t="s">
        <v>664</v>
      </c>
      <c r="L244" s="63" t="s">
        <v>496</v>
      </c>
      <c r="M244" s="66" t="n">
        <f aca="false">IF(OR($A244="",$H244&lt;&gt;""),"",Targets!$C$8-$I244)</f>
        <v>67</v>
      </c>
      <c r="N244" s="66" t="str">
        <f aca="false">IF($A244="","",IF(AND($F244="Project",$E244="Active",$M244&lt;&gt;"",$M244&gt;Targets!$C$12),"Yes","No"))</f>
        <v>Yes</v>
      </c>
      <c r="O244" s="66" t="str">
        <f aca="false">IF($A244="","",IF(AND($G244&gt;=Targets!$C$7,$G244&lt;=Targets!$C$8),"Yes","No"))</f>
        <v>Yes</v>
      </c>
      <c r="P244" s="66" t="str">
        <f aca="false">IF($A244="","",IF(AND($H244&lt;&gt;"",$H244&gt;=Targets!$C$7,$H244&lt;=Targets!$C$8),"Yes","No"))</f>
        <v>No</v>
      </c>
      <c r="Q244" s="66" t="str">
        <f aca="false">IF($A244="","",IF(AND($F244="Project",$E244&lt;&gt;"Closed",$E244&lt;&gt;"Dormant"),"Yes","No"))</f>
        <v>Yes</v>
      </c>
      <c r="R244" s="66" t="str">
        <f aca="false">IF($A244="","",IF(AND($L244="In-house",OR($E244="Intake",$E244="Active",$E244="Waiting")),"Yes","No"))</f>
        <v>No</v>
      </c>
      <c r="S244" s="66" t="str">
        <f aca="false">IF($A244="","",$C244&amp;" | "&amp;$D244)</f>
        <v>Litigation | Active discovery, motions, or trial prep</v>
      </c>
      <c r="T244" s="66" t="str">
        <f aca="false">IF($A244="","",IF(AND($L244="Outside provider",OR($E244="Intake",$E244="Active",$E244="Waiting")),"Yes","No"))</f>
        <v>Yes</v>
      </c>
    </row>
    <row r="245" customFormat="false" ht="15" hidden="false" customHeight="true" outlineLevel="0" collapsed="false">
      <c r="A245" s="67" t="s">
        <v>881</v>
      </c>
      <c r="B245" s="67" t="s">
        <v>882</v>
      </c>
      <c r="C245" s="67" t="s">
        <v>465</v>
      </c>
      <c r="D245" s="67" t="s">
        <v>466</v>
      </c>
      <c r="E245" s="67" t="str">
        <f aca="false">IF($A245="","",IFERROR(INDEX('Status map'!$D$6:$D$64,MATCH($C245&amp;" | "&amp;$D245,'Status map'!$I$6:$I$64,0)),"Unmapped"))</f>
        <v>Closed</v>
      </c>
      <c r="F245" s="67" t="s">
        <v>448</v>
      </c>
      <c r="G245" s="70" t="n">
        <v>45772</v>
      </c>
      <c r="H245" s="70" t="n">
        <v>45874</v>
      </c>
      <c r="I245" s="70" t="n">
        <v>45874</v>
      </c>
      <c r="J245" s="67" t="s">
        <v>462</v>
      </c>
      <c r="K245" s="67" t="s">
        <v>470</v>
      </c>
      <c r="L245" s="67" t="s">
        <v>451</v>
      </c>
      <c r="M245" s="66" t="str">
        <f aca="false">IF(OR($A245="",$H245&lt;&gt;""),"",Targets!$C$8-$I245)</f>
        <v/>
      </c>
      <c r="N245" s="66" t="str">
        <f aca="false">IF($A245="","",IF(AND($F245="Project",$E245="Active",$M245&lt;&gt;"",$M245&gt;Targets!$C$12),"Yes","No"))</f>
        <v>No</v>
      </c>
      <c r="O245" s="66" t="str">
        <f aca="false">IF($A245="","",IF(AND($G245&gt;=Targets!$C$7,$G245&lt;=Targets!$C$8),"Yes","No"))</f>
        <v>No</v>
      </c>
      <c r="P245" s="66" t="str">
        <f aca="false">IF($A245="","",IF(AND($H245&lt;&gt;"",$H245&gt;=Targets!$C$7,$H245&lt;=Targets!$C$8),"Yes","No"))</f>
        <v>No</v>
      </c>
      <c r="Q245" s="66" t="str">
        <f aca="false">IF($A245="","",IF(AND($F245="Project",$E245&lt;&gt;"Closed",$E245&lt;&gt;"Dormant"),"Yes","No"))</f>
        <v>No</v>
      </c>
      <c r="R245" s="66" t="str">
        <f aca="false">IF($A245="","",IF(AND($L245="In-house",OR($E245="Intake",$E245="Active",$E245="Waiting")),"Yes","No"))</f>
        <v>No</v>
      </c>
      <c r="S245" s="66" t="str">
        <f aca="false">IF($A245="","",$C245&amp;" | "&amp;$D245)</f>
        <v>Immigration and visas | Denied or withdrawn</v>
      </c>
      <c r="T245" s="66" t="str">
        <f aca="false">IF($A245="","",IF(AND($L245="Outside provider",OR($E245="Intake",$E245="Active",$E245="Waiting")),"Yes","No"))</f>
        <v>No</v>
      </c>
    </row>
    <row r="246" customFormat="false" ht="15" hidden="false" customHeight="true" outlineLevel="0" collapsed="false">
      <c r="A246" s="63" t="s">
        <v>883</v>
      </c>
      <c r="B246" s="63" t="s">
        <v>884</v>
      </c>
      <c r="C246" s="63" t="s">
        <v>459</v>
      </c>
      <c r="D246" s="63" t="s">
        <v>491</v>
      </c>
      <c r="E246" s="63" t="str">
        <f aca="false">IF($A246="","",IFERROR(INDEX('Status map'!$D$6:$D$64,MATCH($C246&amp;" | "&amp;$D246,'Status map'!$I$6:$I$64,0)),"Unmapped"))</f>
        <v>Active</v>
      </c>
      <c r="F246" s="63" t="s">
        <v>482</v>
      </c>
      <c r="G246" s="69" t="n">
        <v>46184</v>
      </c>
      <c r="H246" s="69"/>
      <c r="I246" s="69" t="n">
        <v>46256</v>
      </c>
      <c r="J246" s="63" t="s">
        <v>462</v>
      </c>
      <c r="K246" s="63" t="s">
        <v>456</v>
      </c>
      <c r="L246" s="63" t="s">
        <v>451</v>
      </c>
      <c r="M246" s="66" t="n">
        <f aca="false">IF(OR($A246="",$H246&lt;&gt;""),"",Targets!$C$8-$I246)</f>
        <v>9</v>
      </c>
      <c r="N246" s="66" t="str">
        <f aca="false">IF($A246="","",IF(AND($F246="Project",$E246="Active",$M246&lt;&gt;"",$M246&gt;Targets!$C$12),"Yes","No"))</f>
        <v>No</v>
      </c>
      <c r="O246" s="66" t="str">
        <f aca="false">IF($A246="","",IF(AND($G246&gt;=Targets!$C$7,$G246&lt;=Targets!$C$8),"Yes","No"))</f>
        <v>No</v>
      </c>
      <c r="P246" s="66" t="str">
        <f aca="false">IF($A246="","",IF(AND($H246&lt;&gt;"",$H246&gt;=Targets!$C$7,$H246&lt;=Targets!$C$8),"Yes","No"))</f>
        <v>No</v>
      </c>
      <c r="Q246" s="66" t="str">
        <f aca="false">IF($A246="","",IF(AND($F246="Project",$E246&lt;&gt;"Closed",$E246&lt;&gt;"Dormant"),"Yes","No"))</f>
        <v>No</v>
      </c>
      <c r="R246" s="66" t="str">
        <f aca="false">IF($A246="","",IF(AND($L246="In-house",OR($E246="Intake",$E246="Active",$E246="Waiting")),"Yes","No"))</f>
        <v>Yes</v>
      </c>
      <c r="S246" s="66" t="str">
        <f aca="false">IF($A246="","",$C246&amp;" | "&amp;$D246)</f>
        <v>Contracts | Drafting, review, or negotiation</v>
      </c>
      <c r="T246" s="66" t="str">
        <f aca="false">IF($A246="","",IF(AND($L246="Outside provider",OR($E246="Intake",$E246="Active",$E246="Waiting")),"Yes","No"))</f>
        <v>No</v>
      </c>
    </row>
    <row r="247" customFormat="false" ht="15" hidden="false" customHeight="true" outlineLevel="0" collapsed="false">
      <c r="A247" s="67" t="s">
        <v>885</v>
      </c>
      <c r="B247" s="67" t="s">
        <v>695</v>
      </c>
      <c r="C247" s="67" t="s">
        <v>459</v>
      </c>
      <c r="D247" s="67" t="s">
        <v>534</v>
      </c>
      <c r="E247" s="67" t="str">
        <f aca="false">IF($A247="","",IFERROR(INDEX('Status map'!$D$6:$D$64,MATCH($C247&amp;" | "&amp;$D247,'Status map'!$I$6:$I$64,0)),"Unmapped"))</f>
        <v>Dormant</v>
      </c>
      <c r="F247" s="67" t="s">
        <v>510</v>
      </c>
      <c r="G247" s="70" t="n">
        <v>44743</v>
      </c>
      <c r="H247" s="70"/>
      <c r="I247" s="70" t="n">
        <v>45982</v>
      </c>
      <c r="J247" s="67" t="s">
        <v>450</v>
      </c>
      <c r="K247" s="67" t="s">
        <v>462</v>
      </c>
      <c r="L247" s="67" t="s">
        <v>451</v>
      </c>
      <c r="M247" s="66" t="n">
        <f aca="false">IF(OR($A247="",$H247&lt;&gt;""),"",Targets!$C$8-$I247)</f>
        <v>283</v>
      </c>
      <c r="N247" s="66" t="str">
        <f aca="false">IF($A247="","",IF(AND($F247="Project",$E247="Active",$M247&lt;&gt;"",$M247&gt;Targets!$C$12),"Yes","No"))</f>
        <v>No</v>
      </c>
      <c r="O247" s="66" t="str">
        <f aca="false">IF($A247="","",IF(AND($G247&gt;=Targets!$C$7,$G247&lt;=Targets!$C$8),"Yes","No"))</f>
        <v>No</v>
      </c>
      <c r="P247" s="66" t="str">
        <f aca="false">IF($A247="","",IF(AND($H247&lt;&gt;"",$H247&gt;=Targets!$C$7,$H247&lt;=Targets!$C$8),"Yes","No"))</f>
        <v>No</v>
      </c>
      <c r="Q247" s="66" t="str">
        <f aca="false">IF($A247="","",IF(AND($F247="Project",$E247&lt;&gt;"Closed",$E247&lt;&gt;"Dormant"),"Yes","No"))</f>
        <v>No</v>
      </c>
      <c r="R247" s="66" t="str">
        <f aca="false">IF($A247="","",IF(AND($L247="In-house",OR($E247="Intake",$E247="Active",$E247="Waiting")),"Yes","No"))</f>
        <v>No</v>
      </c>
      <c r="S247" s="66" t="str">
        <f aca="false">IF($A247="","",$C247&amp;" | "&amp;$D247)</f>
        <v>Contracts | Standing agreement tracked for renewal</v>
      </c>
      <c r="T247" s="66" t="str">
        <f aca="false">IF($A247="","",IF(AND($L247="Outside provider",OR($E247="Intake",$E247="Active",$E247="Waiting")),"Yes","No"))</f>
        <v>No</v>
      </c>
    </row>
    <row r="248" customFormat="false" ht="15" hidden="false" customHeight="true" outlineLevel="0" collapsed="false">
      <c r="A248" s="63" t="s">
        <v>886</v>
      </c>
      <c r="B248" s="63" t="s">
        <v>887</v>
      </c>
      <c r="C248" s="63" t="s">
        <v>487</v>
      </c>
      <c r="D248" s="63" t="s">
        <v>601</v>
      </c>
      <c r="E248" s="63" t="str">
        <f aca="false">IF($A248="","",IFERROR(INDEX('Status map'!$D$6:$D$64,MATCH($C248&amp;" | "&amp;$D248,'Status map'!$I$6:$I$64,0)),"Unmapped"))</f>
        <v>Closed</v>
      </c>
      <c r="F248" s="63" t="s">
        <v>482</v>
      </c>
      <c r="G248" s="69" t="n">
        <v>46116</v>
      </c>
      <c r="H248" s="69" t="n">
        <v>46250</v>
      </c>
      <c r="I248" s="69" t="n">
        <v>46250</v>
      </c>
      <c r="J248" s="63" t="s">
        <v>456</v>
      </c>
      <c r="K248" s="63" t="s">
        <v>492</v>
      </c>
      <c r="L248" s="63" t="s">
        <v>451</v>
      </c>
      <c r="M248" s="66" t="str">
        <f aca="false">IF(OR($A248="",$H248&lt;&gt;""),"",Targets!$C$8-$I248)</f>
        <v/>
      </c>
      <c r="N248" s="66" t="str">
        <f aca="false">IF($A248="","",IF(AND($F248="Project",$E248="Active",$M248&lt;&gt;"",$M248&gt;Targets!$C$12),"Yes","No"))</f>
        <v>No</v>
      </c>
      <c r="O248" s="66" t="str">
        <f aca="false">IF($A248="","",IF(AND($G248&gt;=Targets!$C$7,$G248&lt;=Targets!$C$8),"Yes","No"))</f>
        <v>No</v>
      </c>
      <c r="P248" s="66" t="str">
        <f aca="false">IF($A248="","",IF(AND($H248&lt;&gt;"",$H248&gt;=Targets!$C$7,$H248&lt;=Targets!$C$8),"Yes","No"))</f>
        <v>Yes</v>
      </c>
      <c r="Q248" s="66" t="str">
        <f aca="false">IF($A248="","",IF(AND($F248="Project",$E248&lt;&gt;"Closed",$E248&lt;&gt;"Dormant"),"Yes","No"))</f>
        <v>No</v>
      </c>
      <c r="R248" s="66" t="str">
        <f aca="false">IF($A248="","",IF(AND($L248="In-house",OR($E248="Intake",$E248="Active",$E248="Waiting")),"Yes","No"))</f>
        <v>No</v>
      </c>
      <c r="S248" s="66" t="str">
        <f aca="false">IF($A248="","",$C248&amp;" | "&amp;$D248)</f>
        <v>Corporate and entity management | Entity dissolved</v>
      </c>
      <c r="T248" s="66" t="str">
        <f aca="false">IF($A248="","",IF(AND($L248="Outside provider",OR($E248="Intake",$E248="Active",$E248="Waiting")),"Yes","No"))</f>
        <v>No</v>
      </c>
    </row>
    <row r="249" customFormat="false" ht="15" hidden="false" customHeight="true" outlineLevel="0" collapsed="false">
      <c r="A249" s="67" t="s">
        <v>888</v>
      </c>
      <c r="B249" s="67" t="s">
        <v>588</v>
      </c>
      <c r="C249" s="67" t="s">
        <v>465</v>
      </c>
      <c r="D249" s="67" t="s">
        <v>509</v>
      </c>
      <c r="E249" s="67" t="str">
        <f aca="false">IF($A249="","",IFERROR(INDEX('Status map'!$D$6:$D$64,MATCH($C249&amp;" | "&amp;$D249,'Status map'!$I$6:$I$64,0)),"Unmapped"))</f>
        <v>Dormant</v>
      </c>
      <c r="F249" s="67" t="s">
        <v>510</v>
      </c>
      <c r="G249" s="70" t="n">
        <v>45384</v>
      </c>
      <c r="H249" s="70"/>
      <c r="I249" s="70" t="n">
        <v>46020</v>
      </c>
      <c r="J249" s="67" t="s">
        <v>450</v>
      </c>
      <c r="K249" s="67" t="s">
        <v>450</v>
      </c>
      <c r="L249" s="67" t="s">
        <v>451</v>
      </c>
      <c r="M249" s="66" t="n">
        <f aca="false">IF(OR($A249="",$H249&lt;&gt;""),"",Targets!$C$8-$I249)</f>
        <v>245</v>
      </c>
      <c r="N249" s="66" t="str">
        <f aca="false">IF($A249="","",IF(AND($F249="Project",$E249="Active",$M249&lt;&gt;"",$M249&gt;Targets!$C$12),"Yes","No"))</f>
        <v>No</v>
      </c>
      <c r="O249" s="66" t="str">
        <f aca="false">IF($A249="","",IF(AND($G249&gt;=Targets!$C$7,$G249&lt;=Targets!$C$8),"Yes","No"))</f>
        <v>No</v>
      </c>
      <c r="P249" s="66" t="str">
        <f aca="false">IF($A249="","",IF(AND($H249&lt;&gt;"",$H249&gt;=Targets!$C$7,$H249&lt;=Targets!$C$8),"Yes","No"))</f>
        <v>No</v>
      </c>
      <c r="Q249" s="66" t="str">
        <f aca="false">IF($A249="","",IF(AND($F249="Project",$E249&lt;&gt;"Closed",$E249&lt;&gt;"Dormant"),"Yes","No"))</f>
        <v>No</v>
      </c>
      <c r="R249" s="66" t="str">
        <f aca="false">IF($A249="","",IF(AND($L249="In-house",OR($E249="Intake",$E249="Active",$E249="Waiting")),"Yes","No"))</f>
        <v>No</v>
      </c>
      <c r="S249" s="66" t="str">
        <f aca="false">IF($A249="","",$C249&amp;" | "&amp;$D249)</f>
        <v>Immigration and visas | Approved, renewal window tracked</v>
      </c>
      <c r="T249" s="66" t="str">
        <f aca="false">IF($A249="","",IF(AND($L249="Outside provider",OR($E249="Intake",$E249="Active",$E249="Waiting")),"Yes","No"))</f>
        <v>No</v>
      </c>
    </row>
    <row r="250" customFormat="false" ht="15" hidden="false" customHeight="true" outlineLevel="0" collapsed="false">
      <c r="A250" s="63" t="s">
        <v>889</v>
      </c>
      <c r="B250" s="63" t="s">
        <v>890</v>
      </c>
      <c r="C250" s="63" t="s">
        <v>459</v>
      </c>
      <c r="D250" s="63" t="s">
        <v>481</v>
      </c>
      <c r="E250" s="63" t="str">
        <f aca="false">IF($A250="","",IFERROR(INDEX('Status map'!$D$6:$D$64,MATCH($C250&amp;" | "&amp;$D250,'Status map'!$I$6:$I$64,0)),"Unmapped"))</f>
        <v>Closed</v>
      </c>
      <c r="F250" s="63" t="s">
        <v>448</v>
      </c>
      <c r="G250" s="69" t="n">
        <v>46249</v>
      </c>
      <c r="H250" s="69" t="n">
        <v>46263</v>
      </c>
      <c r="I250" s="69" t="n">
        <v>46263</v>
      </c>
      <c r="J250" s="63" t="s">
        <v>449</v>
      </c>
      <c r="K250" s="63" t="s">
        <v>474</v>
      </c>
      <c r="L250" s="63" t="s">
        <v>451</v>
      </c>
      <c r="M250" s="66" t="str">
        <f aca="false">IF(OR($A250="",$H250&lt;&gt;""),"",Targets!$C$8-$I250)</f>
        <v/>
      </c>
      <c r="N250" s="66" t="str">
        <f aca="false">IF($A250="","",IF(AND($F250="Project",$E250="Active",$M250&lt;&gt;"",$M250&gt;Targets!$C$12),"Yes","No"))</f>
        <v>No</v>
      </c>
      <c r="O250" s="66" t="str">
        <f aca="false">IF($A250="","",IF(AND($G250&gt;=Targets!$C$7,$G250&lt;=Targets!$C$8),"Yes","No"))</f>
        <v>Yes</v>
      </c>
      <c r="P250" s="66" t="str">
        <f aca="false">IF($A250="","",IF(AND($H250&lt;&gt;"",$H250&gt;=Targets!$C$7,$H250&lt;=Targets!$C$8),"Yes","No"))</f>
        <v>Yes</v>
      </c>
      <c r="Q250" s="66" t="str">
        <f aca="false">IF($A250="","",IF(AND($F250="Project",$E250&lt;&gt;"Closed",$E250&lt;&gt;"Dormant"),"Yes","No"))</f>
        <v>No</v>
      </c>
      <c r="R250" s="66" t="str">
        <f aca="false">IF($A250="","",IF(AND($L250="In-house",OR($E250="Intake",$E250="Active",$E250="Waiting")),"Yes","No"))</f>
        <v>No</v>
      </c>
      <c r="S250" s="66" t="str">
        <f aca="false">IF($A250="","",$C250&amp;" | "&amp;$D250)</f>
        <v>Contracts | Expired or terminated</v>
      </c>
      <c r="T250" s="66" t="str">
        <f aca="false">IF($A250="","",IF(AND($L250="Outside provider",OR($E250="Intake",$E250="Active",$E250="Waiting")),"Yes","No"))</f>
        <v>No</v>
      </c>
    </row>
    <row r="251" customFormat="false" ht="15" hidden="false" customHeight="true" outlineLevel="0" collapsed="false">
      <c r="A251" s="67" t="s">
        <v>891</v>
      </c>
      <c r="B251" s="67" t="s">
        <v>626</v>
      </c>
      <c r="C251" s="67" t="s">
        <v>446</v>
      </c>
      <c r="D251" s="67" t="s">
        <v>473</v>
      </c>
      <c r="E251" s="67" t="str">
        <f aca="false">IF($A251="","",IFERROR(INDEX('Status map'!$D$6:$D$64,MATCH($C251&amp;" | "&amp;$D251,'Status map'!$I$6:$I$64,0)),"Unmapped"))</f>
        <v>Closed</v>
      </c>
      <c r="F251" s="67" t="s">
        <v>448</v>
      </c>
      <c r="G251" s="70" t="n">
        <v>45996</v>
      </c>
      <c r="H251" s="70" t="n">
        <v>46250</v>
      </c>
      <c r="I251" s="70" t="n">
        <v>46250</v>
      </c>
      <c r="J251" s="67" t="s">
        <v>462</v>
      </c>
      <c r="K251" s="67" t="s">
        <v>461</v>
      </c>
      <c r="L251" s="67" t="s">
        <v>451</v>
      </c>
      <c r="M251" s="66" t="str">
        <f aca="false">IF(OR($A251="",$H251&lt;&gt;""),"",Targets!$C$8-$I251)</f>
        <v/>
      </c>
      <c r="N251" s="66" t="str">
        <f aca="false">IF($A251="","",IF(AND($F251="Project",$E251="Active",$M251&lt;&gt;"",$M251&gt;Targets!$C$12),"Yes","No"))</f>
        <v>No</v>
      </c>
      <c r="O251" s="66" t="str">
        <f aca="false">IF($A251="","",IF(AND($G251&gt;=Targets!$C$7,$G251&lt;=Targets!$C$8),"Yes","No"))</f>
        <v>No</v>
      </c>
      <c r="P251" s="66" t="str">
        <f aca="false">IF($A251="","",IF(AND($H251&lt;&gt;"",$H251&gt;=Targets!$C$7,$H251&lt;=Targets!$C$8),"Yes","No"))</f>
        <v>Yes</v>
      </c>
      <c r="Q251" s="66" t="str">
        <f aca="false">IF($A251="","",IF(AND($F251="Project",$E251&lt;&gt;"Closed",$E251&lt;&gt;"Dormant"),"Yes","No"))</f>
        <v>No</v>
      </c>
      <c r="R251" s="66" t="str">
        <f aca="false">IF($A251="","",IF(AND($L251="In-house",OR($E251="Intake",$E251="Active",$E251="Waiting")),"Yes","No"))</f>
        <v>No</v>
      </c>
      <c r="S251" s="66" t="str">
        <f aca="false">IF($A251="","",$C251&amp;" | "&amp;$D251)</f>
        <v>Employment | Resolved or closed</v>
      </c>
      <c r="T251" s="66" t="str">
        <f aca="false">IF($A251="","",IF(AND($L251="Outside provider",OR($E251="Intake",$E251="Active",$E251="Waiting")),"Yes","No"))</f>
        <v>No</v>
      </c>
    </row>
    <row r="252" customFormat="false" ht="15" hidden="false" customHeight="true" outlineLevel="0" collapsed="false">
      <c r="A252" s="63" t="s">
        <v>892</v>
      </c>
      <c r="B252" s="63" t="s">
        <v>568</v>
      </c>
      <c r="C252" s="63" t="s">
        <v>446</v>
      </c>
      <c r="D252" s="63" t="s">
        <v>473</v>
      </c>
      <c r="E252" s="63" t="str">
        <f aca="false">IF($A252="","",IFERROR(INDEX('Status map'!$D$6:$D$64,MATCH($C252&amp;" | "&amp;$D252,'Status map'!$I$6:$I$64,0)),"Unmapped"))</f>
        <v>Closed</v>
      </c>
      <c r="F252" s="63" t="s">
        <v>448</v>
      </c>
      <c r="G252" s="69" t="n">
        <v>45960</v>
      </c>
      <c r="H252" s="69" t="n">
        <v>46256</v>
      </c>
      <c r="I252" s="69" t="n">
        <v>46256</v>
      </c>
      <c r="J252" s="63" t="s">
        <v>492</v>
      </c>
      <c r="K252" s="63" t="s">
        <v>450</v>
      </c>
      <c r="L252" s="63" t="s">
        <v>451</v>
      </c>
      <c r="M252" s="66" t="str">
        <f aca="false">IF(OR($A252="",$H252&lt;&gt;""),"",Targets!$C$8-$I252)</f>
        <v/>
      </c>
      <c r="N252" s="66" t="str">
        <f aca="false">IF($A252="","",IF(AND($F252="Project",$E252="Active",$M252&lt;&gt;"",$M252&gt;Targets!$C$12),"Yes","No"))</f>
        <v>No</v>
      </c>
      <c r="O252" s="66" t="str">
        <f aca="false">IF($A252="","",IF(AND($G252&gt;=Targets!$C$7,$G252&lt;=Targets!$C$8),"Yes","No"))</f>
        <v>No</v>
      </c>
      <c r="P252" s="66" t="str">
        <f aca="false">IF($A252="","",IF(AND($H252&lt;&gt;"",$H252&gt;=Targets!$C$7,$H252&lt;=Targets!$C$8),"Yes","No"))</f>
        <v>Yes</v>
      </c>
      <c r="Q252" s="66" t="str">
        <f aca="false">IF($A252="","",IF(AND($F252="Project",$E252&lt;&gt;"Closed",$E252&lt;&gt;"Dormant"),"Yes","No"))</f>
        <v>No</v>
      </c>
      <c r="R252" s="66" t="str">
        <f aca="false">IF($A252="","",IF(AND($L252="In-house",OR($E252="Intake",$E252="Active",$E252="Waiting")),"Yes","No"))</f>
        <v>No</v>
      </c>
      <c r="S252" s="66" t="str">
        <f aca="false">IF($A252="","",$C252&amp;" | "&amp;$D252)</f>
        <v>Employment | Resolved or closed</v>
      </c>
      <c r="T252" s="66" t="str">
        <f aca="false">IF($A252="","",IF(AND($L252="Outside provider",OR($E252="Intake",$E252="Active",$E252="Waiting")),"Yes","No"))</f>
        <v>No</v>
      </c>
    </row>
    <row r="253" customFormat="false" ht="15" hidden="false" customHeight="true" outlineLevel="0" collapsed="false">
      <c r="A253" s="67" t="s">
        <v>893</v>
      </c>
      <c r="B253" s="67" t="s">
        <v>894</v>
      </c>
      <c r="C253" s="67" t="s">
        <v>446</v>
      </c>
      <c r="D253" s="67" t="s">
        <v>563</v>
      </c>
      <c r="E253" s="67" t="str">
        <f aca="false">IF($A253="","",IFERROR(INDEX('Status map'!$D$6:$D$64,MATCH($C253&amp;" | "&amp;$D253,'Status map'!$I$6:$I$64,0)),"Unmapped"))</f>
        <v>Waiting</v>
      </c>
      <c r="F253" s="67" t="s">
        <v>448</v>
      </c>
      <c r="G253" s="70" t="n">
        <v>46261</v>
      </c>
      <c r="H253" s="70"/>
      <c r="I253" s="70" t="n">
        <v>46239</v>
      </c>
      <c r="J253" s="67" t="s">
        <v>450</v>
      </c>
      <c r="K253" s="67" t="s">
        <v>492</v>
      </c>
      <c r="L253" s="67" t="s">
        <v>451</v>
      </c>
      <c r="M253" s="66" t="n">
        <f aca="false">IF(OR($A253="",$H253&lt;&gt;""),"",Targets!$C$8-$I253)</f>
        <v>26</v>
      </c>
      <c r="N253" s="66" t="str">
        <f aca="false">IF($A253="","",IF(AND($F253="Project",$E253="Active",$M253&lt;&gt;"",$M253&gt;Targets!$C$12),"Yes","No"))</f>
        <v>No</v>
      </c>
      <c r="O253" s="66" t="str">
        <f aca="false">IF($A253="","",IF(AND($G253&gt;=Targets!$C$7,$G253&lt;=Targets!$C$8),"Yes","No"))</f>
        <v>Yes</v>
      </c>
      <c r="P253" s="66" t="str">
        <f aca="false">IF($A253="","",IF(AND($H253&lt;&gt;"",$H253&gt;=Targets!$C$7,$H253&lt;=Targets!$C$8),"Yes","No"))</f>
        <v>No</v>
      </c>
      <c r="Q253" s="66" t="str">
        <f aca="false">IF($A253="","",IF(AND($F253="Project",$E253&lt;&gt;"Closed",$E253&lt;&gt;"Dormant"),"Yes","No"))</f>
        <v>Yes</v>
      </c>
      <c r="R253" s="66" t="str">
        <f aca="false">IF($A253="","",IF(AND($L253="In-house",OR($E253="Intake",$E253="Active",$E253="Waiting")),"Yes","No"))</f>
        <v>Yes</v>
      </c>
      <c r="S253" s="66" t="str">
        <f aca="false">IF($A253="","",$C253&amp;" | "&amp;$D253)</f>
        <v>Employment | Awaiting the employee, an agency, or outside counsel</v>
      </c>
      <c r="T253" s="66" t="str">
        <f aca="false">IF($A253="","",IF(AND($L253="Outside provider",OR($E253="Intake",$E253="Active",$E253="Waiting")),"Yes","No"))</f>
        <v>No</v>
      </c>
    </row>
    <row r="254" customFormat="false" ht="15" hidden="false" customHeight="true" outlineLevel="0" collapsed="false">
      <c r="A254" s="63" t="s">
        <v>895</v>
      </c>
      <c r="B254" s="63" t="s">
        <v>896</v>
      </c>
      <c r="C254" s="63" t="s">
        <v>501</v>
      </c>
      <c r="D254" s="63" t="s">
        <v>502</v>
      </c>
      <c r="E254" s="63" t="str">
        <f aca="false">IF($A254="","",IFERROR(INDEX('Status map'!$D$6:$D$64,MATCH($C254&amp;" | "&amp;$D254,'Status map'!$I$6:$I$64,0)),"Unmapped"))</f>
        <v>Closed</v>
      </c>
      <c r="F254" s="63" t="s">
        <v>448</v>
      </c>
      <c r="G254" s="69" t="n">
        <v>46203</v>
      </c>
      <c r="H254" s="69" t="n">
        <v>46239</v>
      </c>
      <c r="I254" s="69" t="n">
        <v>46239</v>
      </c>
      <c r="J254" s="63" t="s">
        <v>492</v>
      </c>
      <c r="K254" s="63" t="s">
        <v>462</v>
      </c>
      <c r="L254" s="63" t="s">
        <v>451</v>
      </c>
      <c r="M254" s="66" t="str">
        <f aca="false">IF(OR($A254="",$H254&lt;&gt;""),"",Targets!$C$8-$I254)</f>
        <v/>
      </c>
      <c r="N254" s="66" t="str">
        <f aca="false">IF($A254="","",IF(AND($F254="Project",$E254="Active",$M254&lt;&gt;"",$M254&gt;Targets!$C$12),"Yes","No"))</f>
        <v>No</v>
      </c>
      <c r="O254" s="66" t="str">
        <f aca="false">IF($A254="","",IF(AND($G254&gt;=Targets!$C$7,$G254&lt;=Targets!$C$8),"Yes","No"))</f>
        <v>No</v>
      </c>
      <c r="P254" s="66" t="str">
        <f aca="false">IF($A254="","",IF(AND($H254&lt;&gt;"",$H254&gt;=Targets!$C$7,$H254&lt;=Targets!$C$8),"Yes","No"))</f>
        <v>Yes</v>
      </c>
      <c r="Q254" s="66" t="str">
        <f aca="false">IF($A254="","",IF(AND($F254="Project",$E254&lt;&gt;"Closed",$E254&lt;&gt;"Dormant"),"Yes","No"))</f>
        <v>No</v>
      </c>
      <c r="R254" s="66" t="str">
        <f aca="false">IF($A254="","",IF(AND($L254="In-house",OR($E254="Intake",$E254="Active",$E254="Waiting")),"Yes","No"))</f>
        <v>No</v>
      </c>
      <c r="S254" s="66" t="str">
        <f aca="false">IF($A254="","",$C254&amp;" | "&amp;$D254)</f>
        <v>M&amp;A and corporate deals | Deal closed</v>
      </c>
      <c r="T254" s="66" t="str">
        <f aca="false">IF($A254="","",IF(AND($L254="Outside provider",OR($E254="Intake",$E254="Active",$E254="Waiting")),"Yes","No"))</f>
        <v>No</v>
      </c>
    </row>
    <row r="255" customFormat="false" ht="15" hidden="false" customHeight="true" outlineLevel="0" collapsed="false">
      <c r="A255" s="67" t="s">
        <v>897</v>
      </c>
      <c r="B255" s="67" t="s">
        <v>458</v>
      </c>
      <c r="C255" s="67" t="s">
        <v>459</v>
      </c>
      <c r="D255" s="67" t="s">
        <v>534</v>
      </c>
      <c r="E255" s="67" t="str">
        <f aca="false">IF($A255="","",IFERROR(INDEX('Status map'!$D$6:$D$64,MATCH($C255&amp;" | "&amp;$D255,'Status map'!$I$6:$I$64,0)),"Unmapped"))</f>
        <v>Dormant</v>
      </c>
      <c r="F255" s="67" t="s">
        <v>510</v>
      </c>
      <c r="G255" s="70" t="n">
        <v>44668</v>
      </c>
      <c r="H255" s="70"/>
      <c r="I255" s="70" t="n">
        <v>46219</v>
      </c>
      <c r="J255" s="67" t="s">
        <v>462</v>
      </c>
      <c r="K255" s="67" t="s">
        <v>450</v>
      </c>
      <c r="L255" s="67" t="s">
        <v>451</v>
      </c>
      <c r="M255" s="66" t="n">
        <f aca="false">IF(OR($A255="",$H255&lt;&gt;""),"",Targets!$C$8-$I255)</f>
        <v>46</v>
      </c>
      <c r="N255" s="66" t="str">
        <f aca="false">IF($A255="","",IF(AND($F255="Project",$E255="Active",$M255&lt;&gt;"",$M255&gt;Targets!$C$12),"Yes","No"))</f>
        <v>No</v>
      </c>
      <c r="O255" s="66" t="str">
        <f aca="false">IF($A255="","",IF(AND($G255&gt;=Targets!$C$7,$G255&lt;=Targets!$C$8),"Yes","No"))</f>
        <v>No</v>
      </c>
      <c r="P255" s="66" t="str">
        <f aca="false">IF($A255="","",IF(AND($H255&lt;&gt;"",$H255&gt;=Targets!$C$7,$H255&lt;=Targets!$C$8),"Yes","No"))</f>
        <v>No</v>
      </c>
      <c r="Q255" s="66" t="str">
        <f aca="false">IF($A255="","",IF(AND($F255="Project",$E255&lt;&gt;"Closed",$E255&lt;&gt;"Dormant"),"Yes","No"))</f>
        <v>No</v>
      </c>
      <c r="R255" s="66" t="str">
        <f aca="false">IF($A255="","",IF(AND($L255="In-house",OR($E255="Intake",$E255="Active",$E255="Waiting")),"Yes","No"))</f>
        <v>No</v>
      </c>
      <c r="S255" s="66" t="str">
        <f aca="false">IF($A255="","",$C255&amp;" | "&amp;$D255)</f>
        <v>Contracts | Standing agreement tracked for renewal</v>
      </c>
      <c r="T255" s="66" t="str">
        <f aca="false">IF($A255="","",IF(AND($L255="Outside provider",OR($E255="Intake",$E255="Active",$E255="Waiting")),"Yes","No"))</f>
        <v>No</v>
      </c>
    </row>
    <row r="256" customFormat="false" ht="15" hidden="false" customHeight="true" outlineLevel="0" collapsed="false">
      <c r="A256" s="63" t="s">
        <v>898</v>
      </c>
      <c r="B256" s="63" t="s">
        <v>513</v>
      </c>
      <c r="C256" s="63" t="s">
        <v>454</v>
      </c>
      <c r="D256" s="63" t="s">
        <v>514</v>
      </c>
      <c r="E256" s="63" t="str">
        <f aca="false">IF($A256="","",IFERROR(INDEX('Status map'!$D$6:$D$64,MATCH($C256&amp;" | "&amp;$D256,'Status map'!$I$6:$I$64,0)),"Unmapped"))</f>
        <v>Active</v>
      </c>
      <c r="F256" s="63" t="s">
        <v>448</v>
      </c>
      <c r="G256" s="69" t="n">
        <v>46252</v>
      </c>
      <c r="H256" s="69"/>
      <c r="I256" s="69" t="n">
        <v>46257</v>
      </c>
      <c r="J256" s="63" t="s">
        <v>461</v>
      </c>
      <c r="K256" s="63" t="s">
        <v>474</v>
      </c>
      <c r="L256" s="63" t="s">
        <v>451</v>
      </c>
      <c r="M256" s="66" t="n">
        <f aca="false">IF(OR($A256="",$H256&lt;&gt;""),"",Targets!$C$8-$I256)</f>
        <v>8</v>
      </c>
      <c r="N256" s="66" t="str">
        <f aca="false">IF($A256="","",IF(AND($F256="Project",$E256="Active",$M256&lt;&gt;"",$M256&gt;Targets!$C$12),"Yes","No"))</f>
        <v>No</v>
      </c>
      <c r="O256" s="66" t="str">
        <f aca="false">IF($A256="","",IF(AND($G256&gt;=Targets!$C$7,$G256&lt;=Targets!$C$8),"Yes","No"))</f>
        <v>Yes</v>
      </c>
      <c r="P256" s="66" t="str">
        <f aca="false">IF($A256="","",IF(AND($H256&lt;&gt;"",$H256&gt;=Targets!$C$7,$H256&lt;=Targets!$C$8),"Yes","No"))</f>
        <v>No</v>
      </c>
      <c r="Q256" s="66" t="str">
        <f aca="false">IF($A256="","",IF(AND($F256="Project",$E256&lt;&gt;"Closed",$E256&lt;&gt;"Dormant"),"Yes","No"))</f>
        <v>Yes</v>
      </c>
      <c r="R256" s="66" t="str">
        <f aca="false">IF($A256="","",IF(AND($L256="In-house",OR($E256="Intake",$E256="Active",$E256="Waiting")),"Yes","No"))</f>
        <v>Yes</v>
      </c>
      <c r="S256" s="66" t="str">
        <f aca="false">IF($A256="","",$C256&amp;" | "&amp;$D256)</f>
        <v>Litigation | Active discovery, motions, or trial prep</v>
      </c>
      <c r="T256" s="66" t="str">
        <f aca="false">IF($A256="","",IF(AND($L256="Outside provider",OR($E256="Intake",$E256="Active",$E256="Waiting")),"Yes","No"))</f>
        <v>No</v>
      </c>
    </row>
    <row r="257" customFormat="false" ht="15" hidden="false" customHeight="true" outlineLevel="0" collapsed="false">
      <c r="A257" s="67" t="s">
        <v>899</v>
      </c>
      <c r="B257" s="67" t="s">
        <v>540</v>
      </c>
      <c r="C257" s="67" t="s">
        <v>501</v>
      </c>
      <c r="D257" s="67" t="s">
        <v>502</v>
      </c>
      <c r="E257" s="67" t="str">
        <f aca="false">IF($A257="","",IFERROR(INDEX('Status map'!$D$6:$D$64,MATCH($C257&amp;" | "&amp;$D257,'Status map'!$I$6:$I$64,0)),"Unmapped"))</f>
        <v>Closed</v>
      </c>
      <c r="F257" s="67" t="s">
        <v>448</v>
      </c>
      <c r="G257" s="70" t="n">
        <v>46126</v>
      </c>
      <c r="H257" s="70" t="n">
        <v>46244</v>
      </c>
      <c r="I257" s="70" t="n">
        <v>46244</v>
      </c>
      <c r="J257" s="67" t="s">
        <v>456</v>
      </c>
      <c r="K257" s="67" t="s">
        <v>461</v>
      </c>
      <c r="L257" s="67" t="s">
        <v>451</v>
      </c>
      <c r="M257" s="66" t="str">
        <f aca="false">IF(OR($A257="",$H257&lt;&gt;""),"",Targets!$C$8-$I257)</f>
        <v/>
      </c>
      <c r="N257" s="66" t="str">
        <f aca="false">IF($A257="","",IF(AND($F257="Project",$E257="Active",$M257&lt;&gt;"",$M257&gt;Targets!$C$12),"Yes","No"))</f>
        <v>No</v>
      </c>
      <c r="O257" s="66" t="str">
        <f aca="false">IF($A257="","",IF(AND($G257&gt;=Targets!$C$7,$G257&lt;=Targets!$C$8),"Yes","No"))</f>
        <v>No</v>
      </c>
      <c r="P257" s="66" t="str">
        <f aca="false">IF($A257="","",IF(AND($H257&lt;&gt;"",$H257&gt;=Targets!$C$7,$H257&lt;=Targets!$C$8),"Yes","No"))</f>
        <v>Yes</v>
      </c>
      <c r="Q257" s="66" t="str">
        <f aca="false">IF($A257="","",IF(AND($F257="Project",$E257&lt;&gt;"Closed",$E257&lt;&gt;"Dormant"),"Yes","No"))</f>
        <v>No</v>
      </c>
      <c r="R257" s="66" t="str">
        <f aca="false">IF($A257="","",IF(AND($L257="In-house",OR($E257="Intake",$E257="Active",$E257="Waiting")),"Yes","No"))</f>
        <v>No</v>
      </c>
      <c r="S257" s="66" t="str">
        <f aca="false">IF($A257="","",$C257&amp;" | "&amp;$D257)</f>
        <v>M&amp;A and corporate deals | Deal closed</v>
      </c>
      <c r="T257" s="66" t="str">
        <f aca="false">IF($A257="","",IF(AND($L257="Outside provider",OR($E257="Intake",$E257="Active",$E257="Waiting")),"Yes","No"))</f>
        <v>No</v>
      </c>
    </row>
    <row r="258" customFormat="false" ht="15" hidden="false" customHeight="true" outlineLevel="0" collapsed="false">
      <c r="A258" s="63" t="s">
        <v>900</v>
      </c>
      <c r="B258" s="63" t="s">
        <v>554</v>
      </c>
      <c r="C258" s="63" t="s">
        <v>501</v>
      </c>
      <c r="D258" s="63" t="s">
        <v>720</v>
      </c>
      <c r="E258" s="63" t="str">
        <f aca="false">IF($A258="","",IFERROR(INDEX('Status map'!$D$6:$D$64,MATCH($C258&amp;" | "&amp;$D258,'Status map'!$I$6:$I$64,0)),"Unmapped"))</f>
        <v>Active</v>
      </c>
      <c r="F258" s="63" t="s">
        <v>448</v>
      </c>
      <c r="G258" s="69" t="n">
        <v>46253</v>
      </c>
      <c r="H258" s="69"/>
      <c r="I258" s="69" t="n">
        <v>46263</v>
      </c>
      <c r="J258" s="63" t="s">
        <v>492</v>
      </c>
      <c r="K258" s="63" t="s">
        <v>492</v>
      </c>
      <c r="L258" s="63" t="s">
        <v>451</v>
      </c>
      <c r="M258" s="66" t="n">
        <f aca="false">IF(OR($A258="",$H258&lt;&gt;""),"",Targets!$C$8-$I258)</f>
        <v>2</v>
      </c>
      <c r="N258" s="66" t="str">
        <f aca="false">IF($A258="","",IF(AND($F258="Project",$E258="Active",$M258&lt;&gt;"",$M258&gt;Targets!$C$12),"Yes","No"))</f>
        <v>No</v>
      </c>
      <c r="O258" s="66" t="str">
        <f aca="false">IF($A258="","",IF(AND($G258&gt;=Targets!$C$7,$G258&lt;=Targets!$C$8),"Yes","No"))</f>
        <v>Yes</v>
      </c>
      <c r="P258" s="66" t="str">
        <f aca="false">IF($A258="","",IF(AND($H258&lt;&gt;"",$H258&gt;=Targets!$C$7,$H258&lt;=Targets!$C$8),"Yes","No"))</f>
        <v>No</v>
      </c>
      <c r="Q258" s="66" t="str">
        <f aca="false">IF($A258="","",IF(AND($F258="Project",$E258&lt;&gt;"Closed",$E258&lt;&gt;"Dormant"),"Yes","No"))</f>
        <v>Yes</v>
      </c>
      <c r="R258" s="66" t="str">
        <f aca="false">IF($A258="","",IF(AND($L258="In-house",OR($E258="Intake",$E258="Active",$E258="Waiting")),"Yes","No"))</f>
        <v>Yes</v>
      </c>
      <c r="S258" s="66" t="str">
        <f aca="false">IF($A258="","",$C258&amp;" | "&amp;$D258)</f>
        <v>M&amp;A and corporate deals | Term sheet or letter of intent under discussion</v>
      </c>
      <c r="T258" s="66" t="str">
        <f aca="false">IF($A258="","",IF(AND($L258="Outside provider",OR($E258="Intake",$E258="Active",$E258="Waiting")),"Yes","No"))</f>
        <v>No</v>
      </c>
    </row>
    <row r="259" customFormat="false" ht="15" hidden="false" customHeight="true" outlineLevel="0" collapsed="false">
      <c r="A259" s="67" t="s">
        <v>901</v>
      </c>
      <c r="B259" s="67" t="s">
        <v>902</v>
      </c>
      <c r="C259" s="67" t="s">
        <v>487</v>
      </c>
      <c r="D259" s="67" t="s">
        <v>601</v>
      </c>
      <c r="E259" s="67" t="str">
        <f aca="false">IF($A259="","",IFERROR(INDEX('Status map'!$D$6:$D$64,MATCH($C259&amp;" | "&amp;$D259,'Status map'!$I$6:$I$64,0)),"Unmapped"))</f>
        <v>Closed</v>
      </c>
      <c r="F259" s="67" t="s">
        <v>482</v>
      </c>
      <c r="G259" s="70" t="n">
        <v>46018</v>
      </c>
      <c r="H259" s="70" t="n">
        <v>46235</v>
      </c>
      <c r="I259" s="70" t="n">
        <v>46235</v>
      </c>
      <c r="J259" s="67" t="s">
        <v>492</v>
      </c>
      <c r="K259" s="67" t="s">
        <v>456</v>
      </c>
      <c r="L259" s="67" t="s">
        <v>451</v>
      </c>
      <c r="M259" s="66" t="str">
        <f aca="false">IF(OR($A259="",$H259&lt;&gt;""),"",Targets!$C$8-$I259)</f>
        <v/>
      </c>
      <c r="N259" s="66" t="str">
        <f aca="false">IF($A259="","",IF(AND($F259="Project",$E259="Active",$M259&lt;&gt;"",$M259&gt;Targets!$C$12),"Yes","No"))</f>
        <v>No</v>
      </c>
      <c r="O259" s="66" t="str">
        <f aca="false">IF($A259="","",IF(AND($G259&gt;=Targets!$C$7,$G259&lt;=Targets!$C$8),"Yes","No"))</f>
        <v>No</v>
      </c>
      <c r="P259" s="66" t="str">
        <f aca="false">IF($A259="","",IF(AND($H259&lt;&gt;"",$H259&gt;=Targets!$C$7,$H259&lt;=Targets!$C$8),"Yes","No"))</f>
        <v>Yes</v>
      </c>
      <c r="Q259" s="66" t="str">
        <f aca="false">IF($A259="","",IF(AND($F259="Project",$E259&lt;&gt;"Closed",$E259&lt;&gt;"Dormant"),"Yes","No"))</f>
        <v>No</v>
      </c>
      <c r="R259" s="66" t="str">
        <f aca="false">IF($A259="","",IF(AND($L259="In-house",OR($E259="Intake",$E259="Active",$E259="Waiting")),"Yes","No"))</f>
        <v>No</v>
      </c>
      <c r="S259" s="66" t="str">
        <f aca="false">IF($A259="","",$C259&amp;" | "&amp;$D259)</f>
        <v>Corporate and entity management | Entity dissolved</v>
      </c>
      <c r="T259" s="66" t="str">
        <f aca="false">IF($A259="","",IF(AND($L259="Outside provider",OR($E259="Intake",$E259="Active",$E259="Waiting")),"Yes","No"))</f>
        <v>No</v>
      </c>
    </row>
    <row r="260" customFormat="false" ht="15" hidden="false" customHeight="true" outlineLevel="0" collapsed="false">
      <c r="A260" s="63" t="s">
        <v>903</v>
      </c>
      <c r="B260" s="63" t="s">
        <v>904</v>
      </c>
      <c r="C260" s="63" t="s">
        <v>454</v>
      </c>
      <c r="D260" s="63" t="s">
        <v>455</v>
      </c>
      <c r="E260" s="63" t="str">
        <f aca="false">IF($A260="","",IFERROR(INDEX('Status map'!$D$6:$D$64,MATCH($C260&amp;" | "&amp;$D260,'Status map'!$I$6:$I$64,0)),"Unmapped"))</f>
        <v>Closed</v>
      </c>
      <c r="F260" s="63" t="s">
        <v>448</v>
      </c>
      <c r="G260" s="69" t="n">
        <v>46103</v>
      </c>
      <c r="H260" s="69" t="n">
        <v>46250</v>
      </c>
      <c r="I260" s="69" t="n">
        <v>46250</v>
      </c>
      <c r="J260" s="63" t="s">
        <v>449</v>
      </c>
      <c r="K260" s="63" t="s">
        <v>538</v>
      </c>
      <c r="L260" s="63" t="s">
        <v>496</v>
      </c>
      <c r="M260" s="66" t="str">
        <f aca="false">IF(OR($A260="",$H260&lt;&gt;""),"",Targets!$C$8-$I260)</f>
        <v/>
      </c>
      <c r="N260" s="66" t="str">
        <f aca="false">IF($A260="","",IF(AND($F260="Project",$E260="Active",$M260&lt;&gt;"",$M260&gt;Targets!$C$12),"Yes","No"))</f>
        <v>No</v>
      </c>
      <c r="O260" s="66" t="str">
        <f aca="false">IF($A260="","",IF(AND($G260&gt;=Targets!$C$7,$G260&lt;=Targets!$C$8),"Yes","No"))</f>
        <v>No</v>
      </c>
      <c r="P260" s="66" t="str">
        <f aca="false">IF($A260="","",IF(AND($H260&lt;&gt;"",$H260&gt;=Targets!$C$7,$H260&lt;=Targets!$C$8),"Yes","No"))</f>
        <v>Yes</v>
      </c>
      <c r="Q260" s="66" t="str">
        <f aca="false">IF($A260="","",IF(AND($F260="Project",$E260&lt;&gt;"Closed",$E260&lt;&gt;"Dormant"),"Yes","No"))</f>
        <v>No</v>
      </c>
      <c r="R260" s="66" t="str">
        <f aca="false">IF($A260="","",IF(AND($L260="In-house",OR($E260="Intake",$E260="Active",$E260="Waiting")),"Yes","No"))</f>
        <v>No</v>
      </c>
      <c r="S260" s="66" t="str">
        <f aca="false">IF($A260="","",$C260&amp;" | "&amp;$D260)</f>
        <v>Litigation | Settled, dismissed, or judgment entered</v>
      </c>
      <c r="T260" s="66" t="str">
        <f aca="false">IF($A260="","",IF(AND($L260="Outside provider",OR($E260="Intake",$E260="Active",$E260="Waiting")),"Yes","No"))</f>
        <v>No</v>
      </c>
    </row>
    <row r="261" customFormat="false" ht="15" hidden="false" customHeight="true" outlineLevel="0" collapsed="false">
      <c r="A261" s="67" t="s">
        <v>905</v>
      </c>
      <c r="B261" s="67" t="s">
        <v>723</v>
      </c>
      <c r="C261" s="67" t="s">
        <v>465</v>
      </c>
      <c r="D261" s="67" t="s">
        <v>469</v>
      </c>
      <c r="E261" s="67" t="str">
        <f aca="false">IF($A261="","",IFERROR(INDEX('Status map'!$D$6:$D$64,MATCH($C261&amp;" | "&amp;$D261,'Status map'!$I$6:$I$64,0)),"Unmapped"))</f>
        <v>Active</v>
      </c>
      <c r="F261" s="67" t="s">
        <v>448</v>
      </c>
      <c r="G261" s="70" t="n">
        <v>45932</v>
      </c>
      <c r="H261" s="70"/>
      <c r="I261" s="70" t="n">
        <v>46247</v>
      </c>
      <c r="J261" s="67" t="s">
        <v>470</v>
      </c>
      <c r="K261" s="67" t="s">
        <v>470</v>
      </c>
      <c r="L261" s="67" t="s">
        <v>451</v>
      </c>
      <c r="M261" s="66" t="n">
        <f aca="false">IF(OR($A261="",$H261&lt;&gt;""),"",Targets!$C$8-$I261)</f>
        <v>18</v>
      </c>
      <c r="N261" s="66" t="str">
        <f aca="false">IF($A261="","",IF(AND($F261="Project",$E261="Active",$M261&lt;&gt;"",$M261&gt;Targets!$C$12),"Yes","No"))</f>
        <v>No</v>
      </c>
      <c r="O261" s="66" t="str">
        <f aca="false">IF($A261="","",IF(AND($G261&gt;=Targets!$C$7,$G261&lt;=Targets!$C$8),"Yes","No"))</f>
        <v>No</v>
      </c>
      <c r="P261" s="66" t="str">
        <f aca="false">IF($A261="","",IF(AND($H261&lt;&gt;"",$H261&gt;=Targets!$C$7,$H261&lt;=Targets!$C$8),"Yes","No"))</f>
        <v>No</v>
      </c>
      <c r="Q261" s="66" t="str">
        <f aca="false">IF($A261="","",IF(AND($F261="Project",$E261&lt;&gt;"Closed",$E261&lt;&gt;"Dormant"),"Yes","No"))</f>
        <v>Yes</v>
      </c>
      <c r="R261" s="66" t="str">
        <f aca="false">IF($A261="","",IF(AND($L261="In-house",OR($E261="Intake",$E261="Active",$E261="Waiting")),"Yes","No"))</f>
        <v>Yes</v>
      </c>
      <c r="S261" s="66" t="str">
        <f aca="false">IF($A261="","",$C261&amp;" | "&amp;$D261)</f>
        <v>Immigration and visas | Petition or an evidence response being prepared</v>
      </c>
      <c r="T261" s="66" t="str">
        <f aca="false">IF($A261="","",IF(AND($L261="Outside provider",OR($E261="Intake",$E261="Active",$E261="Waiting")),"Yes","No"))</f>
        <v>No</v>
      </c>
    </row>
    <row r="262" customFormat="false" ht="15" hidden="false" customHeight="true" outlineLevel="0" collapsed="false">
      <c r="A262" s="63" t="s">
        <v>906</v>
      </c>
      <c r="B262" s="63" t="s">
        <v>907</v>
      </c>
      <c r="C262" s="63" t="s">
        <v>446</v>
      </c>
      <c r="D262" s="63" t="s">
        <v>473</v>
      </c>
      <c r="E262" s="63" t="str">
        <f aca="false">IF($A262="","",IFERROR(INDEX('Status map'!$D$6:$D$64,MATCH($C262&amp;" | "&amp;$D262,'Status map'!$I$6:$I$64,0)),"Unmapped"))</f>
        <v>Closed</v>
      </c>
      <c r="F262" s="63" t="s">
        <v>448</v>
      </c>
      <c r="G262" s="69" t="n">
        <v>46241</v>
      </c>
      <c r="H262" s="69" t="n">
        <v>46255</v>
      </c>
      <c r="I262" s="69" t="n">
        <v>46255</v>
      </c>
      <c r="J262" s="63" t="s">
        <v>492</v>
      </c>
      <c r="K262" s="63" t="s">
        <v>664</v>
      </c>
      <c r="L262" s="63" t="s">
        <v>496</v>
      </c>
      <c r="M262" s="66" t="str">
        <f aca="false">IF(OR($A262="",$H262&lt;&gt;""),"",Targets!$C$8-$I262)</f>
        <v/>
      </c>
      <c r="N262" s="66" t="str">
        <f aca="false">IF($A262="","",IF(AND($F262="Project",$E262="Active",$M262&lt;&gt;"",$M262&gt;Targets!$C$12),"Yes","No"))</f>
        <v>No</v>
      </c>
      <c r="O262" s="66" t="str">
        <f aca="false">IF($A262="","",IF(AND($G262&gt;=Targets!$C$7,$G262&lt;=Targets!$C$8),"Yes","No"))</f>
        <v>Yes</v>
      </c>
      <c r="P262" s="66" t="str">
        <f aca="false">IF($A262="","",IF(AND($H262&lt;&gt;"",$H262&gt;=Targets!$C$7,$H262&lt;=Targets!$C$8),"Yes","No"))</f>
        <v>Yes</v>
      </c>
      <c r="Q262" s="66" t="str">
        <f aca="false">IF($A262="","",IF(AND($F262="Project",$E262&lt;&gt;"Closed",$E262&lt;&gt;"Dormant"),"Yes","No"))</f>
        <v>No</v>
      </c>
      <c r="R262" s="66" t="str">
        <f aca="false">IF($A262="","",IF(AND($L262="In-house",OR($E262="Intake",$E262="Active",$E262="Waiting")),"Yes","No"))</f>
        <v>No</v>
      </c>
      <c r="S262" s="66" t="str">
        <f aca="false">IF($A262="","",$C262&amp;" | "&amp;$D262)</f>
        <v>Employment | Resolved or closed</v>
      </c>
      <c r="T262" s="66" t="str">
        <f aca="false">IF($A262="","",IF(AND($L262="Outside provider",OR($E262="Intake",$E262="Active",$E262="Waiting")),"Yes","No"))</f>
        <v>No</v>
      </c>
    </row>
    <row r="263" customFormat="false" ht="15" hidden="false" customHeight="true" outlineLevel="0" collapsed="false">
      <c r="A263" s="67" t="s">
        <v>908</v>
      </c>
      <c r="B263" s="67" t="s">
        <v>909</v>
      </c>
      <c r="C263" s="67" t="s">
        <v>459</v>
      </c>
      <c r="D263" s="67" t="s">
        <v>460</v>
      </c>
      <c r="E263" s="67" t="str">
        <f aca="false">IF($A263="","",IFERROR(INDEX('Status map'!$D$6:$D$64,MATCH($C263&amp;" | "&amp;$D263,'Status map'!$I$6:$I$64,0)),"Unmapped"))</f>
        <v>Waiting</v>
      </c>
      <c r="F263" s="67" t="s">
        <v>448</v>
      </c>
      <c r="G263" s="70" t="n">
        <v>46171</v>
      </c>
      <c r="H263" s="70"/>
      <c r="I263" s="70" t="n">
        <v>46258</v>
      </c>
      <c r="J263" s="67" t="s">
        <v>474</v>
      </c>
      <c r="K263" s="67" t="s">
        <v>470</v>
      </c>
      <c r="L263" s="67" t="s">
        <v>451</v>
      </c>
      <c r="M263" s="66" t="n">
        <f aca="false">IF(OR($A263="",$H263&lt;&gt;""),"",Targets!$C$8-$I263)</f>
        <v>7</v>
      </c>
      <c r="N263" s="66" t="str">
        <f aca="false">IF($A263="","",IF(AND($F263="Project",$E263="Active",$M263&lt;&gt;"",$M263&gt;Targets!$C$12),"Yes","No"))</f>
        <v>No</v>
      </c>
      <c r="O263" s="66" t="str">
        <f aca="false">IF($A263="","",IF(AND($G263&gt;=Targets!$C$7,$G263&lt;=Targets!$C$8),"Yes","No"))</f>
        <v>No</v>
      </c>
      <c r="P263" s="66" t="str">
        <f aca="false">IF($A263="","",IF(AND($H263&lt;&gt;"",$H263&gt;=Targets!$C$7,$H263&lt;=Targets!$C$8),"Yes","No"))</f>
        <v>No</v>
      </c>
      <c r="Q263" s="66" t="str">
        <f aca="false">IF($A263="","",IF(AND($F263="Project",$E263&lt;&gt;"Closed",$E263&lt;&gt;"Dormant"),"Yes","No"))</f>
        <v>Yes</v>
      </c>
      <c r="R263" s="66" t="str">
        <f aca="false">IF($A263="","",IF(AND($L263="In-house",OR($E263="Intake",$E263="Active",$E263="Waiting")),"Yes","No"))</f>
        <v>Yes</v>
      </c>
      <c r="S263" s="66" t="str">
        <f aca="false">IF($A263="","",$C263&amp;" | "&amp;$D263)</f>
        <v>Contracts | Out for signature or awaiting the counterparty</v>
      </c>
      <c r="T263" s="66" t="str">
        <f aca="false">IF($A263="","",IF(AND($L263="Outside provider",OR($E263="Intake",$E263="Active",$E263="Waiting")),"Yes","No"))</f>
        <v>No</v>
      </c>
    </row>
    <row r="264" customFormat="false" ht="15" hidden="false" customHeight="true" outlineLevel="0" collapsed="false">
      <c r="A264" s="63" t="s">
        <v>910</v>
      </c>
      <c r="B264" s="63" t="s">
        <v>911</v>
      </c>
      <c r="C264" s="63" t="s">
        <v>501</v>
      </c>
      <c r="D264" s="63" t="s">
        <v>502</v>
      </c>
      <c r="E264" s="63" t="str">
        <f aca="false">IF($A264="","",IFERROR(INDEX('Status map'!$D$6:$D$64,MATCH($C264&amp;" | "&amp;$D264,'Status map'!$I$6:$I$64,0)),"Unmapped"))</f>
        <v>Closed</v>
      </c>
      <c r="F264" s="63" t="s">
        <v>448</v>
      </c>
      <c r="G264" s="69" t="n">
        <v>46028</v>
      </c>
      <c r="H264" s="69" t="n">
        <v>46216</v>
      </c>
      <c r="I264" s="69" t="n">
        <v>46216</v>
      </c>
      <c r="J264" s="63" t="s">
        <v>461</v>
      </c>
      <c r="K264" s="63" t="s">
        <v>474</v>
      </c>
      <c r="L264" s="63" t="s">
        <v>451</v>
      </c>
      <c r="M264" s="66" t="str">
        <f aca="false">IF(OR($A264="",$H264&lt;&gt;""),"",Targets!$C$8-$I264)</f>
        <v/>
      </c>
      <c r="N264" s="66" t="str">
        <f aca="false">IF($A264="","",IF(AND($F264="Project",$E264="Active",$M264&lt;&gt;"",$M264&gt;Targets!$C$12),"Yes","No"))</f>
        <v>No</v>
      </c>
      <c r="O264" s="66" t="str">
        <f aca="false">IF($A264="","",IF(AND($G264&gt;=Targets!$C$7,$G264&lt;=Targets!$C$8),"Yes","No"))</f>
        <v>No</v>
      </c>
      <c r="P264" s="66" t="str">
        <f aca="false">IF($A264="","",IF(AND($H264&lt;&gt;"",$H264&gt;=Targets!$C$7,$H264&lt;=Targets!$C$8),"Yes","No"))</f>
        <v>No</v>
      </c>
      <c r="Q264" s="66" t="str">
        <f aca="false">IF($A264="","",IF(AND($F264="Project",$E264&lt;&gt;"Closed",$E264&lt;&gt;"Dormant"),"Yes","No"))</f>
        <v>No</v>
      </c>
      <c r="R264" s="66" t="str">
        <f aca="false">IF($A264="","",IF(AND($L264="In-house",OR($E264="Intake",$E264="Active",$E264="Waiting")),"Yes","No"))</f>
        <v>No</v>
      </c>
      <c r="S264" s="66" t="str">
        <f aca="false">IF($A264="","",$C264&amp;" | "&amp;$D264)</f>
        <v>M&amp;A and corporate deals | Deal closed</v>
      </c>
      <c r="T264" s="66" t="str">
        <f aca="false">IF($A264="","",IF(AND($L264="Outside provider",OR($E264="Intake",$E264="Active",$E264="Waiting")),"Yes","No"))</f>
        <v>No</v>
      </c>
    </row>
    <row r="265" customFormat="false" ht="15" hidden="false" customHeight="true" outlineLevel="0" collapsed="false">
      <c r="A265" s="67" t="s">
        <v>912</v>
      </c>
      <c r="B265" s="67" t="s">
        <v>913</v>
      </c>
      <c r="C265" s="67" t="s">
        <v>454</v>
      </c>
      <c r="D265" s="67" t="s">
        <v>455</v>
      </c>
      <c r="E265" s="67" t="str">
        <f aca="false">IF($A265="","",IFERROR(INDEX('Status map'!$D$6:$D$64,MATCH($C265&amp;" | "&amp;$D265,'Status map'!$I$6:$I$64,0)),"Unmapped"))</f>
        <v>Closed</v>
      </c>
      <c r="F265" s="67" t="s">
        <v>448</v>
      </c>
      <c r="G265" s="70" t="n">
        <v>46062</v>
      </c>
      <c r="H265" s="70" t="n">
        <v>46157</v>
      </c>
      <c r="I265" s="70" t="n">
        <v>46157</v>
      </c>
      <c r="J265" s="67" t="s">
        <v>474</v>
      </c>
      <c r="K265" s="67" t="s">
        <v>664</v>
      </c>
      <c r="L265" s="67" t="s">
        <v>496</v>
      </c>
      <c r="M265" s="66" t="str">
        <f aca="false">IF(OR($A265="",$H265&lt;&gt;""),"",Targets!$C$8-$I265)</f>
        <v/>
      </c>
      <c r="N265" s="66" t="str">
        <f aca="false">IF($A265="","",IF(AND($F265="Project",$E265="Active",$M265&lt;&gt;"",$M265&gt;Targets!$C$12),"Yes","No"))</f>
        <v>No</v>
      </c>
      <c r="O265" s="66" t="str">
        <f aca="false">IF($A265="","",IF(AND($G265&gt;=Targets!$C$7,$G265&lt;=Targets!$C$8),"Yes","No"))</f>
        <v>No</v>
      </c>
      <c r="P265" s="66" t="str">
        <f aca="false">IF($A265="","",IF(AND($H265&lt;&gt;"",$H265&gt;=Targets!$C$7,$H265&lt;=Targets!$C$8),"Yes","No"))</f>
        <v>No</v>
      </c>
      <c r="Q265" s="66" t="str">
        <f aca="false">IF($A265="","",IF(AND($F265="Project",$E265&lt;&gt;"Closed",$E265&lt;&gt;"Dormant"),"Yes","No"))</f>
        <v>No</v>
      </c>
      <c r="R265" s="66" t="str">
        <f aca="false">IF($A265="","",IF(AND($L265="In-house",OR($E265="Intake",$E265="Active",$E265="Waiting")),"Yes","No"))</f>
        <v>No</v>
      </c>
      <c r="S265" s="66" t="str">
        <f aca="false">IF($A265="","",$C265&amp;" | "&amp;$D265)</f>
        <v>Litigation | Settled, dismissed, or judgment entered</v>
      </c>
      <c r="T265" s="66" t="str">
        <f aca="false">IF($A265="","",IF(AND($L265="Outside provider",OR($E265="Intake",$E265="Active",$E265="Waiting")),"Yes","No"))</f>
        <v>No</v>
      </c>
    </row>
    <row r="266" customFormat="false" ht="15" hidden="false" customHeight="true" outlineLevel="0" collapsed="false">
      <c r="A266" s="63" t="s">
        <v>914</v>
      </c>
      <c r="B266" s="63" t="s">
        <v>915</v>
      </c>
      <c r="C266" s="63" t="s">
        <v>454</v>
      </c>
      <c r="D266" s="63" t="s">
        <v>455</v>
      </c>
      <c r="E266" s="63" t="str">
        <f aca="false">IF($A266="","",IFERROR(INDEX('Status map'!$D$6:$D$64,MATCH($C266&amp;" | "&amp;$D266,'Status map'!$I$6:$I$64,0)),"Unmapped"))</f>
        <v>Closed</v>
      </c>
      <c r="F266" s="63" t="s">
        <v>448</v>
      </c>
      <c r="G266" s="69" t="n">
        <v>46253</v>
      </c>
      <c r="H266" s="69" t="n">
        <v>46265</v>
      </c>
      <c r="I266" s="69" t="n">
        <v>46265</v>
      </c>
      <c r="J266" s="63" t="s">
        <v>449</v>
      </c>
      <c r="K266" s="63" t="s">
        <v>449</v>
      </c>
      <c r="L266" s="63" t="s">
        <v>451</v>
      </c>
      <c r="M266" s="66" t="str">
        <f aca="false">IF(OR($A266="",$H266&lt;&gt;""),"",Targets!$C$8-$I266)</f>
        <v/>
      </c>
      <c r="N266" s="66" t="str">
        <f aca="false">IF($A266="","",IF(AND($F266="Project",$E266="Active",$M266&lt;&gt;"",$M266&gt;Targets!$C$12),"Yes","No"))</f>
        <v>No</v>
      </c>
      <c r="O266" s="66" t="str">
        <f aca="false">IF($A266="","",IF(AND($G266&gt;=Targets!$C$7,$G266&lt;=Targets!$C$8),"Yes","No"))</f>
        <v>Yes</v>
      </c>
      <c r="P266" s="66" t="str">
        <f aca="false">IF($A266="","",IF(AND($H266&lt;&gt;"",$H266&gt;=Targets!$C$7,$H266&lt;=Targets!$C$8),"Yes","No"))</f>
        <v>Yes</v>
      </c>
      <c r="Q266" s="66" t="str">
        <f aca="false">IF($A266="","",IF(AND($F266="Project",$E266&lt;&gt;"Closed",$E266&lt;&gt;"Dormant"),"Yes","No"))</f>
        <v>No</v>
      </c>
      <c r="R266" s="66" t="str">
        <f aca="false">IF($A266="","",IF(AND($L266="In-house",OR($E266="Intake",$E266="Active",$E266="Waiting")),"Yes","No"))</f>
        <v>No</v>
      </c>
      <c r="S266" s="66" t="str">
        <f aca="false">IF($A266="","",$C266&amp;" | "&amp;$D266)</f>
        <v>Litigation | Settled, dismissed, or judgment entered</v>
      </c>
      <c r="T266" s="66" t="str">
        <f aca="false">IF($A266="","",IF(AND($L266="Outside provider",OR($E266="Intake",$E266="Active",$E266="Waiting")),"Yes","No"))</f>
        <v>No</v>
      </c>
    </row>
    <row r="267" customFormat="false" ht="15" hidden="false" customHeight="true" outlineLevel="0" collapsed="false">
      <c r="A267" s="67" t="s">
        <v>916</v>
      </c>
      <c r="B267" s="67" t="s">
        <v>535</v>
      </c>
      <c r="C267" s="67" t="s">
        <v>446</v>
      </c>
      <c r="D267" s="67" t="s">
        <v>563</v>
      </c>
      <c r="E267" s="67" t="str">
        <f aca="false">IF($A267="","",IFERROR(INDEX('Status map'!$D$6:$D$64,MATCH($C267&amp;" | "&amp;$D267,'Status map'!$I$6:$I$64,0)),"Unmapped"))</f>
        <v>Waiting</v>
      </c>
      <c r="F267" s="67" t="s">
        <v>448</v>
      </c>
      <c r="G267" s="70" t="n">
        <v>46255</v>
      </c>
      <c r="H267" s="70"/>
      <c r="I267" s="70" t="n">
        <v>46261</v>
      </c>
      <c r="J267" s="67" t="s">
        <v>462</v>
      </c>
      <c r="K267" s="67" t="s">
        <v>474</v>
      </c>
      <c r="L267" s="67" t="s">
        <v>451</v>
      </c>
      <c r="M267" s="66" t="n">
        <f aca="false">IF(OR($A267="",$H267&lt;&gt;""),"",Targets!$C$8-$I267)</f>
        <v>4</v>
      </c>
      <c r="N267" s="66" t="str">
        <f aca="false">IF($A267="","",IF(AND($F267="Project",$E267="Active",$M267&lt;&gt;"",$M267&gt;Targets!$C$12),"Yes","No"))</f>
        <v>No</v>
      </c>
      <c r="O267" s="66" t="str">
        <f aca="false">IF($A267="","",IF(AND($G267&gt;=Targets!$C$7,$G267&lt;=Targets!$C$8),"Yes","No"))</f>
        <v>Yes</v>
      </c>
      <c r="P267" s="66" t="str">
        <f aca="false">IF($A267="","",IF(AND($H267&lt;&gt;"",$H267&gt;=Targets!$C$7,$H267&lt;=Targets!$C$8),"Yes","No"))</f>
        <v>No</v>
      </c>
      <c r="Q267" s="66" t="str">
        <f aca="false">IF($A267="","",IF(AND($F267="Project",$E267&lt;&gt;"Closed",$E267&lt;&gt;"Dormant"),"Yes","No"))</f>
        <v>Yes</v>
      </c>
      <c r="R267" s="66" t="str">
        <f aca="false">IF($A267="","",IF(AND($L267="In-house",OR($E267="Intake",$E267="Active",$E267="Waiting")),"Yes","No"))</f>
        <v>Yes</v>
      </c>
      <c r="S267" s="66" t="str">
        <f aca="false">IF($A267="","",$C267&amp;" | "&amp;$D267)</f>
        <v>Employment | Awaiting the employee, an agency, or outside counsel</v>
      </c>
      <c r="T267" s="66" t="str">
        <f aca="false">IF($A267="","",IF(AND($L267="Outside provider",OR($E267="Intake",$E267="Active",$E267="Waiting")),"Yes","No"))</f>
        <v>No</v>
      </c>
    </row>
    <row r="268" customFormat="false" ht="15" hidden="false" customHeight="true" outlineLevel="0" collapsed="false">
      <c r="A268" s="63" t="s">
        <v>917</v>
      </c>
      <c r="B268" s="63" t="s">
        <v>918</v>
      </c>
      <c r="C268" s="63" t="s">
        <v>459</v>
      </c>
      <c r="D268" s="63" t="s">
        <v>491</v>
      </c>
      <c r="E268" s="63" t="str">
        <f aca="false">IF($A268="","",IFERROR(INDEX('Status map'!$D$6:$D$64,MATCH($C268&amp;" | "&amp;$D268,'Status map'!$I$6:$I$64,0)),"Unmapped"))</f>
        <v>Active</v>
      </c>
      <c r="F268" s="63" t="s">
        <v>448</v>
      </c>
      <c r="G268" s="69" t="n">
        <v>46257</v>
      </c>
      <c r="H268" s="69"/>
      <c r="I268" s="69" t="n">
        <v>46247</v>
      </c>
      <c r="J268" s="63" t="s">
        <v>470</v>
      </c>
      <c r="K268" s="63" t="s">
        <v>474</v>
      </c>
      <c r="L268" s="63" t="s">
        <v>451</v>
      </c>
      <c r="M268" s="66" t="n">
        <f aca="false">IF(OR($A268="",$H268&lt;&gt;""),"",Targets!$C$8-$I268)</f>
        <v>18</v>
      </c>
      <c r="N268" s="66" t="str">
        <f aca="false">IF($A268="","",IF(AND($F268="Project",$E268="Active",$M268&lt;&gt;"",$M268&gt;Targets!$C$12),"Yes","No"))</f>
        <v>No</v>
      </c>
      <c r="O268" s="66" t="str">
        <f aca="false">IF($A268="","",IF(AND($G268&gt;=Targets!$C$7,$G268&lt;=Targets!$C$8),"Yes","No"))</f>
        <v>Yes</v>
      </c>
      <c r="P268" s="66" t="str">
        <f aca="false">IF($A268="","",IF(AND($H268&lt;&gt;"",$H268&gt;=Targets!$C$7,$H268&lt;=Targets!$C$8),"Yes","No"))</f>
        <v>No</v>
      </c>
      <c r="Q268" s="66" t="str">
        <f aca="false">IF($A268="","",IF(AND($F268="Project",$E268&lt;&gt;"Closed",$E268&lt;&gt;"Dormant"),"Yes","No"))</f>
        <v>Yes</v>
      </c>
      <c r="R268" s="66" t="str">
        <f aca="false">IF($A268="","",IF(AND($L268="In-house",OR($E268="Intake",$E268="Active",$E268="Waiting")),"Yes","No"))</f>
        <v>Yes</v>
      </c>
      <c r="S268" s="66" t="str">
        <f aca="false">IF($A268="","",$C268&amp;" | "&amp;$D268)</f>
        <v>Contracts | Drafting, review, or negotiation</v>
      </c>
      <c r="T268" s="66" t="str">
        <f aca="false">IF($A268="","",IF(AND($L268="Outside provider",OR($E268="Intake",$E268="Active",$E268="Waiting")),"Yes","No"))</f>
        <v>No</v>
      </c>
    </row>
    <row r="269" customFormat="false" ht="15" hidden="false" customHeight="true" outlineLevel="0" collapsed="false">
      <c r="A269" s="67" t="s">
        <v>919</v>
      </c>
      <c r="B269" s="67" t="s">
        <v>920</v>
      </c>
      <c r="C269" s="67" t="s">
        <v>459</v>
      </c>
      <c r="D269" s="67" t="s">
        <v>481</v>
      </c>
      <c r="E269" s="67" t="str">
        <f aca="false">IF($A269="","",IFERROR(INDEX('Status map'!$D$6:$D$64,MATCH($C269&amp;" | "&amp;$D269,'Status map'!$I$6:$I$64,0)),"Unmapped"))</f>
        <v>Closed</v>
      </c>
      <c r="F269" s="67" t="s">
        <v>448</v>
      </c>
      <c r="G269" s="70" t="n">
        <v>46047</v>
      </c>
      <c r="H269" s="70" t="n">
        <v>46235</v>
      </c>
      <c r="I269" s="70" t="n">
        <v>46235</v>
      </c>
      <c r="J269" s="67" t="s">
        <v>470</v>
      </c>
      <c r="K269" s="67" t="s">
        <v>450</v>
      </c>
      <c r="L269" s="67" t="s">
        <v>451</v>
      </c>
      <c r="M269" s="66" t="str">
        <f aca="false">IF(OR($A269="",$H269&lt;&gt;""),"",Targets!$C$8-$I269)</f>
        <v/>
      </c>
      <c r="N269" s="66" t="str">
        <f aca="false">IF($A269="","",IF(AND($F269="Project",$E269="Active",$M269&lt;&gt;"",$M269&gt;Targets!$C$12),"Yes","No"))</f>
        <v>No</v>
      </c>
      <c r="O269" s="66" t="str">
        <f aca="false">IF($A269="","",IF(AND($G269&gt;=Targets!$C$7,$G269&lt;=Targets!$C$8),"Yes","No"))</f>
        <v>No</v>
      </c>
      <c r="P269" s="66" t="str">
        <f aca="false">IF($A269="","",IF(AND($H269&lt;&gt;"",$H269&gt;=Targets!$C$7,$H269&lt;=Targets!$C$8),"Yes","No"))</f>
        <v>Yes</v>
      </c>
      <c r="Q269" s="66" t="str">
        <f aca="false">IF($A269="","",IF(AND($F269="Project",$E269&lt;&gt;"Closed",$E269&lt;&gt;"Dormant"),"Yes","No"))</f>
        <v>No</v>
      </c>
      <c r="R269" s="66" t="str">
        <f aca="false">IF($A269="","",IF(AND($L269="In-house",OR($E269="Intake",$E269="Active",$E269="Waiting")),"Yes","No"))</f>
        <v>No</v>
      </c>
      <c r="S269" s="66" t="str">
        <f aca="false">IF($A269="","",$C269&amp;" | "&amp;$D269)</f>
        <v>Contracts | Expired or terminated</v>
      </c>
      <c r="T269" s="66" t="str">
        <f aca="false">IF($A269="","",IF(AND($L269="Outside provider",OR($E269="Intake",$E269="Active",$E269="Waiting")),"Yes","No"))</f>
        <v>No</v>
      </c>
    </row>
    <row r="270" customFormat="false" ht="15" hidden="false" customHeight="true" outlineLevel="0" collapsed="false">
      <c r="A270" s="63" t="s">
        <v>921</v>
      </c>
      <c r="B270" s="63" t="s">
        <v>922</v>
      </c>
      <c r="C270" s="63" t="s">
        <v>454</v>
      </c>
      <c r="D270" s="63" t="s">
        <v>455</v>
      </c>
      <c r="E270" s="63" t="str">
        <f aca="false">IF($A270="","",IFERROR(INDEX('Status map'!$D$6:$D$64,MATCH($C270&amp;" | "&amp;$D270,'Status map'!$I$6:$I$64,0)),"Unmapped"))</f>
        <v>Closed</v>
      </c>
      <c r="F270" s="63" t="s">
        <v>448</v>
      </c>
      <c r="G270" s="69" t="n">
        <v>46238</v>
      </c>
      <c r="H270" s="69" t="n">
        <v>46240</v>
      </c>
      <c r="I270" s="69" t="n">
        <v>46240</v>
      </c>
      <c r="J270" s="63" t="s">
        <v>462</v>
      </c>
      <c r="K270" s="63" t="s">
        <v>474</v>
      </c>
      <c r="L270" s="63" t="s">
        <v>451</v>
      </c>
      <c r="M270" s="66" t="str">
        <f aca="false">IF(OR($A270="",$H270&lt;&gt;""),"",Targets!$C$8-$I270)</f>
        <v/>
      </c>
      <c r="N270" s="66" t="str">
        <f aca="false">IF($A270="","",IF(AND($F270="Project",$E270="Active",$M270&lt;&gt;"",$M270&gt;Targets!$C$12),"Yes","No"))</f>
        <v>No</v>
      </c>
      <c r="O270" s="66" t="str">
        <f aca="false">IF($A270="","",IF(AND($G270&gt;=Targets!$C$7,$G270&lt;=Targets!$C$8),"Yes","No"))</f>
        <v>Yes</v>
      </c>
      <c r="P270" s="66" t="str">
        <f aca="false">IF($A270="","",IF(AND($H270&lt;&gt;"",$H270&gt;=Targets!$C$7,$H270&lt;=Targets!$C$8),"Yes","No"))</f>
        <v>Yes</v>
      </c>
      <c r="Q270" s="66" t="str">
        <f aca="false">IF($A270="","",IF(AND($F270="Project",$E270&lt;&gt;"Closed",$E270&lt;&gt;"Dormant"),"Yes","No"))</f>
        <v>No</v>
      </c>
      <c r="R270" s="66" t="str">
        <f aca="false">IF($A270="","",IF(AND($L270="In-house",OR($E270="Intake",$E270="Active",$E270="Waiting")),"Yes","No"))</f>
        <v>No</v>
      </c>
      <c r="S270" s="66" t="str">
        <f aca="false">IF($A270="","",$C270&amp;" | "&amp;$D270)</f>
        <v>Litigation | Settled, dismissed, or judgment entered</v>
      </c>
      <c r="T270" s="66" t="str">
        <f aca="false">IF($A270="","",IF(AND($L270="Outside provider",OR($E270="Intake",$E270="Active",$E270="Waiting")),"Yes","No"))</f>
        <v>No</v>
      </c>
    </row>
    <row r="271" customFormat="false" ht="15" hidden="false" customHeight="true" outlineLevel="0" collapsed="false">
      <c r="A271" s="67" t="s">
        <v>923</v>
      </c>
      <c r="B271" s="67" t="s">
        <v>924</v>
      </c>
      <c r="C271" s="67" t="s">
        <v>501</v>
      </c>
      <c r="D271" s="67" t="s">
        <v>502</v>
      </c>
      <c r="E271" s="67" t="str">
        <f aca="false">IF($A271="","",IFERROR(INDEX('Status map'!$D$6:$D$64,MATCH($C271&amp;" | "&amp;$D271,'Status map'!$I$6:$I$64,0)),"Unmapped"))</f>
        <v>Closed</v>
      </c>
      <c r="F271" s="67" t="s">
        <v>448</v>
      </c>
      <c r="G271" s="70" t="n">
        <v>46142</v>
      </c>
      <c r="H271" s="70" t="n">
        <v>46259</v>
      </c>
      <c r="I271" s="70" t="n">
        <v>46259</v>
      </c>
      <c r="J271" s="67" t="s">
        <v>474</v>
      </c>
      <c r="K271" s="67" t="s">
        <v>470</v>
      </c>
      <c r="L271" s="67" t="s">
        <v>451</v>
      </c>
      <c r="M271" s="66" t="str">
        <f aca="false">IF(OR($A271="",$H271&lt;&gt;""),"",Targets!$C$8-$I271)</f>
        <v/>
      </c>
      <c r="N271" s="66" t="str">
        <f aca="false">IF($A271="","",IF(AND($F271="Project",$E271="Active",$M271&lt;&gt;"",$M271&gt;Targets!$C$12),"Yes","No"))</f>
        <v>No</v>
      </c>
      <c r="O271" s="66" t="str">
        <f aca="false">IF($A271="","",IF(AND($G271&gt;=Targets!$C$7,$G271&lt;=Targets!$C$8),"Yes","No"))</f>
        <v>No</v>
      </c>
      <c r="P271" s="66" t="str">
        <f aca="false">IF($A271="","",IF(AND($H271&lt;&gt;"",$H271&gt;=Targets!$C$7,$H271&lt;=Targets!$C$8),"Yes","No"))</f>
        <v>Yes</v>
      </c>
      <c r="Q271" s="66" t="str">
        <f aca="false">IF($A271="","",IF(AND($F271="Project",$E271&lt;&gt;"Closed",$E271&lt;&gt;"Dormant"),"Yes","No"))</f>
        <v>No</v>
      </c>
      <c r="R271" s="66" t="str">
        <f aca="false">IF($A271="","",IF(AND($L271="In-house",OR($E271="Intake",$E271="Active",$E271="Waiting")),"Yes","No"))</f>
        <v>No</v>
      </c>
      <c r="S271" s="66" t="str">
        <f aca="false">IF($A271="","",$C271&amp;" | "&amp;$D271)</f>
        <v>M&amp;A and corporate deals | Deal closed</v>
      </c>
      <c r="T271" s="66" t="str">
        <f aca="false">IF($A271="","",IF(AND($L271="Outside provider",OR($E271="Intake",$E271="Active",$E271="Waiting")),"Yes","No"))</f>
        <v>No</v>
      </c>
    </row>
    <row r="272" customFormat="false" ht="15" hidden="false" customHeight="true" outlineLevel="0" collapsed="false">
      <c r="A272" s="63" t="s">
        <v>925</v>
      </c>
      <c r="B272" s="63" t="s">
        <v>617</v>
      </c>
      <c r="C272" s="63" t="s">
        <v>459</v>
      </c>
      <c r="D272" s="63" t="s">
        <v>491</v>
      </c>
      <c r="E272" s="63" t="str">
        <f aca="false">IF($A272="","",IFERROR(INDEX('Status map'!$D$6:$D$64,MATCH($C272&amp;" | "&amp;$D272,'Status map'!$I$6:$I$64,0)),"Unmapped"))</f>
        <v>Active</v>
      </c>
      <c r="F272" s="63" t="s">
        <v>448</v>
      </c>
      <c r="G272" s="69" t="n">
        <v>46239</v>
      </c>
      <c r="H272" s="69"/>
      <c r="I272" s="69" t="n">
        <v>46264</v>
      </c>
      <c r="J272" s="63" t="s">
        <v>474</v>
      </c>
      <c r="K272" s="63" t="s">
        <v>474</v>
      </c>
      <c r="L272" s="63" t="s">
        <v>451</v>
      </c>
      <c r="M272" s="66" t="n">
        <f aca="false">IF(OR($A272="",$H272&lt;&gt;""),"",Targets!$C$8-$I272)</f>
        <v>1</v>
      </c>
      <c r="N272" s="66" t="str">
        <f aca="false">IF($A272="","",IF(AND($F272="Project",$E272="Active",$M272&lt;&gt;"",$M272&gt;Targets!$C$12),"Yes","No"))</f>
        <v>No</v>
      </c>
      <c r="O272" s="66" t="str">
        <f aca="false">IF($A272="","",IF(AND($G272&gt;=Targets!$C$7,$G272&lt;=Targets!$C$8),"Yes","No"))</f>
        <v>Yes</v>
      </c>
      <c r="P272" s="66" t="str">
        <f aca="false">IF($A272="","",IF(AND($H272&lt;&gt;"",$H272&gt;=Targets!$C$7,$H272&lt;=Targets!$C$8),"Yes","No"))</f>
        <v>No</v>
      </c>
      <c r="Q272" s="66" t="str">
        <f aca="false">IF($A272="","",IF(AND($F272="Project",$E272&lt;&gt;"Closed",$E272&lt;&gt;"Dormant"),"Yes","No"))</f>
        <v>Yes</v>
      </c>
      <c r="R272" s="66" t="str">
        <f aca="false">IF($A272="","",IF(AND($L272="In-house",OR($E272="Intake",$E272="Active",$E272="Waiting")),"Yes","No"))</f>
        <v>Yes</v>
      </c>
      <c r="S272" s="66" t="str">
        <f aca="false">IF($A272="","",$C272&amp;" | "&amp;$D272)</f>
        <v>Contracts | Drafting, review, or negotiation</v>
      </c>
      <c r="T272" s="66" t="str">
        <f aca="false">IF($A272="","",IF(AND($L272="Outside provider",OR($E272="Intake",$E272="Active",$E272="Waiting")),"Yes","No"))</f>
        <v>No</v>
      </c>
    </row>
    <row r="273" customFormat="false" ht="15" hidden="false" customHeight="true" outlineLevel="0" collapsed="false">
      <c r="A273" s="67" t="s">
        <v>926</v>
      </c>
      <c r="B273" s="67" t="s">
        <v>927</v>
      </c>
      <c r="C273" s="67" t="s">
        <v>501</v>
      </c>
      <c r="D273" s="67" t="s">
        <v>502</v>
      </c>
      <c r="E273" s="67" t="str">
        <f aca="false">IF($A273="","",IFERROR(INDEX('Status map'!$D$6:$D$64,MATCH($C273&amp;" | "&amp;$D273,'Status map'!$I$6:$I$64,0)),"Unmapped"))</f>
        <v>Closed</v>
      </c>
      <c r="F273" s="67" t="s">
        <v>448</v>
      </c>
      <c r="G273" s="70" t="n">
        <v>46236</v>
      </c>
      <c r="H273" s="70" t="n">
        <v>46237</v>
      </c>
      <c r="I273" s="70" t="n">
        <v>46237</v>
      </c>
      <c r="J273" s="67" t="s">
        <v>462</v>
      </c>
      <c r="K273" s="67" t="s">
        <v>462</v>
      </c>
      <c r="L273" s="67" t="s">
        <v>451</v>
      </c>
      <c r="M273" s="66" t="str">
        <f aca="false">IF(OR($A273="",$H273&lt;&gt;""),"",Targets!$C$8-$I273)</f>
        <v/>
      </c>
      <c r="N273" s="66" t="str">
        <f aca="false">IF($A273="","",IF(AND($F273="Project",$E273="Active",$M273&lt;&gt;"",$M273&gt;Targets!$C$12),"Yes","No"))</f>
        <v>No</v>
      </c>
      <c r="O273" s="66" t="str">
        <f aca="false">IF($A273="","",IF(AND($G273&gt;=Targets!$C$7,$G273&lt;=Targets!$C$8),"Yes","No"))</f>
        <v>Yes</v>
      </c>
      <c r="P273" s="66" t="str">
        <f aca="false">IF($A273="","",IF(AND($H273&lt;&gt;"",$H273&gt;=Targets!$C$7,$H273&lt;=Targets!$C$8),"Yes","No"))</f>
        <v>Yes</v>
      </c>
      <c r="Q273" s="66" t="str">
        <f aca="false">IF($A273="","",IF(AND($F273="Project",$E273&lt;&gt;"Closed",$E273&lt;&gt;"Dormant"),"Yes","No"))</f>
        <v>No</v>
      </c>
      <c r="R273" s="66" t="str">
        <f aca="false">IF($A273="","",IF(AND($L273="In-house",OR($E273="Intake",$E273="Active",$E273="Waiting")),"Yes","No"))</f>
        <v>No</v>
      </c>
      <c r="S273" s="66" t="str">
        <f aca="false">IF($A273="","",$C273&amp;" | "&amp;$D273)</f>
        <v>M&amp;A and corporate deals | Deal closed</v>
      </c>
      <c r="T273" s="66" t="str">
        <f aca="false">IF($A273="","",IF(AND($L273="Outside provider",OR($E273="Intake",$E273="Active",$E273="Waiting")),"Yes","No"))</f>
        <v>No</v>
      </c>
    </row>
    <row r="274" customFormat="false" ht="15" hidden="false" customHeight="true" outlineLevel="0" collapsed="false">
      <c r="A274" s="63" t="s">
        <v>928</v>
      </c>
      <c r="B274" s="63" t="s">
        <v>929</v>
      </c>
      <c r="C274" s="63" t="s">
        <v>647</v>
      </c>
      <c r="D274" s="63" t="s">
        <v>930</v>
      </c>
      <c r="E274" s="63" t="str">
        <f aca="false">IF($A274="","",IFERROR(INDEX('Status map'!$D$6:$D$64,MATCH($C274&amp;" | "&amp;$D274,'Status map'!$I$6:$I$64,0)),"Unmapped"))</f>
        <v>Waiting</v>
      </c>
      <c r="F274" s="63" t="s">
        <v>510</v>
      </c>
      <c r="G274" s="69" t="n">
        <v>44037</v>
      </c>
      <c r="H274" s="69"/>
      <c r="I274" s="69" t="n">
        <v>46225</v>
      </c>
      <c r="J274" s="63" t="s">
        <v>492</v>
      </c>
      <c r="K274" s="63" t="s">
        <v>450</v>
      </c>
      <c r="L274" s="63" t="s">
        <v>451</v>
      </c>
      <c r="M274" s="66" t="n">
        <f aca="false">IF(OR($A274="",$H274&lt;&gt;""),"",Targets!$C$8-$I274)</f>
        <v>40</v>
      </c>
      <c r="N274" s="66" t="str">
        <f aca="false">IF($A274="","",IF(AND($F274="Project",$E274="Active",$M274&lt;&gt;"",$M274&gt;Targets!$C$12),"Yes","No"))</f>
        <v>No</v>
      </c>
      <c r="O274" s="66" t="str">
        <f aca="false">IF($A274="","",IF(AND($G274&gt;=Targets!$C$7,$G274&lt;=Targets!$C$8),"Yes","No"))</f>
        <v>No</v>
      </c>
      <c r="P274" s="66" t="str">
        <f aca="false">IF($A274="","",IF(AND($H274&lt;&gt;"",$H274&gt;=Targets!$C$7,$H274&lt;=Targets!$C$8),"Yes","No"))</f>
        <v>No</v>
      </c>
      <c r="Q274" s="66" t="str">
        <f aca="false">IF($A274="","",IF(AND($F274="Project",$E274&lt;&gt;"Closed",$E274&lt;&gt;"Dormant"),"Yes","No"))</f>
        <v>No</v>
      </c>
      <c r="R274" s="66" t="str">
        <f aca="false">IF($A274="","",IF(AND($L274="In-house",OR($E274="Intake",$E274="Active",$E274="Waiting")),"Yes","No"))</f>
        <v>Yes</v>
      </c>
      <c r="S274" s="66" t="str">
        <f aca="false">IF($A274="","",$C274&amp;" | "&amp;$D274)</f>
        <v>IP: patents and trademarks | Filed, awaiting examination or an office action</v>
      </c>
      <c r="T274" s="66" t="str">
        <f aca="false">IF($A274="","",IF(AND($L274="Outside provider",OR($E274="Intake",$E274="Active",$E274="Waiting")),"Yes","No"))</f>
        <v>No</v>
      </c>
    </row>
    <row r="275" customFormat="false" ht="15" hidden="false" customHeight="true" outlineLevel="0" collapsed="false">
      <c r="A275" s="67" t="s">
        <v>931</v>
      </c>
      <c r="B275" s="67" t="s">
        <v>932</v>
      </c>
      <c r="C275" s="67" t="s">
        <v>647</v>
      </c>
      <c r="D275" s="67" t="s">
        <v>648</v>
      </c>
      <c r="E275" s="67" t="str">
        <f aca="false">IF($A275="","",IFERROR(INDEX('Status map'!$D$6:$D$64,MATCH($C275&amp;" | "&amp;$D275,'Status map'!$I$6:$I$64,0)),"Unmapped"))</f>
        <v>Dormant</v>
      </c>
      <c r="F275" s="67" t="s">
        <v>510</v>
      </c>
      <c r="G275" s="70" t="n">
        <v>45649</v>
      </c>
      <c r="H275" s="70"/>
      <c r="I275" s="70" t="n">
        <v>46170</v>
      </c>
      <c r="J275" s="67" t="s">
        <v>462</v>
      </c>
      <c r="K275" s="67" t="s">
        <v>461</v>
      </c>
      <c r="L275" s="67" t="s">
        <v>451</v>
      </c>
      <c r="M275" s="66" t="n">
        <f aca="false">IF(OR($A275="",$H275&lt;&gt;""),"",Targets!$C$8-$I275)</f>
        <v>95</v>
      </c>
      <c r="N275" s="66" t="str">
        <f aca="false">IF($A275="","",IF(AND($F275="Project",$E275="Active",$M275&lt;&gt;"",$M275&gt;Targets!$C$12),"Yes","No"))</f>
        <v>No</v>
      </c>
      <c r="O275" s="66" t="str">
        <f aca="false">IF($A275="","",IF(AND($G275&gt;=Targets!$C$7,$G275&lt;=Targets!$C$8),"Yes","No"))</f>
        <v>No</v>
      </c>
      <c r="P275" s="66" t="str">
        <f aca="false">IF($A275="","",IF(AND($H275&lt;&gt;"",$H275&gt;=Targets!$C$7,$H275&lt;=Targets!$C$8),"Yes","No"))</f>
        <v>No</v>
      </c>
      <c r="Q275" s="66" t="str">
        <f aca="false">IF($A275="","",IF(AND($F275="Project",$E275&lt;&gt;"Closed",$E275&lt;&gt;"Dormant"),"Yes","No"))</f>
        <v>No</v>
      </c>
      <c r="R275" s="66" t="str">
        <f aca="false">IF($A275="","",IF(AND($L275="In-house",OR($E275="Intake",$E275="Active",$E275="Waiting")),"Yes","No"))</f>
        <v>No</v>
      </c>
      <c r="S275" s="66" t="str">
        <f aca="false">IF($A275="","",$C275&amp;" | "&amp;$D275)</f>
        <v>IP: patents and trademarks | Issued or registered, in maintenance</v>
      </c>
      <c r="T275" s="66" t="str">
        <f aca="false">IF($A275="","",IF(AND($L275="Outside provider",OR($E275="Intake",$E275="Active",$E275="Waiting")),"Yes","No"))</f>
        <v>No</v>
      </c>
    </row>
    <row r="276" customFormat="false" ht="15" hidden="false" customHeight="true" outlineLevel="0" collapsed="false">
      <c r="A276" s="63" t="s">
        <v>933</v>
      </c>
      <c r="B276" s="63" t="s">
        <v>934</v>
      </c>
      <c r="C276" s="63" t="s">
        <v>501</v>
      </c>
      <c r="D276" s="63" t="s">
        <v>517</v>
      </c>
      <c r="E276" s="63" t="str">
        <f aca="false">IF($A276="","",IFERROR(INDEX('Status map'!$D$6:$D$64,MATCH($C276&amp;" | "&amp;$D276,'Status map'!$I$6:$I$64,0)),"Unmapped"))</f>
        <v>Dormant</v>
      </c>
      <c r="F276" s="63" t="s">
        <v>510</v>
      </c>
      <c r="G276" s="69" t="n">
        <v>44952</v>
      </c>
      <c r="H276" s="69"/>
      <c r="I276" s="69" t="n">
        <v>46144</v>
      </c>
      <c r="J276" s="63" t="s">
        <v>474</v>
      </c>
      <c r="K276" s="63" t="s">
        <v>456</v>
      </c>
      <c r="L276" s="63" t="s">
        <v>451</v>
      </c>
      <c r="M276" s="66" t="n">
        <f aca="false">IF(OR($A276="",$H276&lt;&gt;""),"",Targets!$C$8-$I276)</f>
        <v>121</v>
      </c>
      <c r="N276" s="66" t="str">
        <f aca="false">IF($A276="","",IF(AND($F276="Project",$E276="Active",$M276&lt;&gt;"",$M276&gt;Targets!$C$12),"Yes","No"))</f>
        <v>No</v>
      </c>
      <c r="O276" s="66" t="str">
        <f aca="false">IF($A276="","",IF(AND($G276&gt;=Targets!$C$7,$G276&lt;=Targets!$C$8),"Yes","No"))</f>
        <v>No</v>
      </c>
      <c r="P276" s="66" t="str">
        <f aca="false">IF($A276="","",IF(AND($H276&lt;&gt;"",$H276&gt;=Targets!$C$7,$H276&lt;=Targets!$C$8),"Yes","No"))</f>
        <v>No</v>
      </c>
      <c r="Q276" s="66" t="str">
        <f aca="false">IF($A276="","",IF(AND($F276="Project",$E276&lt;&gt;"Closed",$E276&lt;&gt;"Dormant"),"Yes","No"))</f>
        <v>No</v>
      </c>
      <c r="R276" s="66" t="str">
        <f aca="false">IF($A276="","",IF(AND($L276="In-house",OR($E276="Intake",$E276="Active",$E276="Waiting")),"Yes","No"))</f>
        <v>No</v>
      </c>
      <c r="S276" s="66" t="str">
        <f aca="false">IF($A276="","",$C276&amp;" | "&amp;$D276)</f>
        <v>M&amp;A and corporate deals | Post-closing obligations tracked</v>
      </c>
      <c r="T276" s="66" t="str">
        <f aca="false">IF($A276="","",IF(AND($L276="Outside provider",OR($E276="Intake",$E276="Active",$E276="Waiting")),"Yes","No"))</f>
        <v>No</v>
      </c>
    </row>
    <row r="277" customFormat="false" ht="15" hidden="false" customHeight="true" outlineLevel="0" collapsed="false">
      <c r="A277" s="67" t="s">
        <v>935</v>
      </c>
      <c r="B277" s="67" t="s">
        <v>936</v>
      </c>
      <c r="C277" s="67" t="s">
        <v>446</v>
      </c>
      <c r="D277" s="67" t="s">
        <v>545</v>
      </c>
      <c r="E277" s="67" t="str">
        <f aca="false">IF($A277="","",IFERROR(INDEX('Status map'!$D$6:$D$64,MATCH($C277&amp;" | "&amp;$D277,'Status map'!$I$6:$I$64,0)),"Unmapped"))</f>
        <v>Active</v>
      </c>
      <c r="F277" s="67" t="s">
        <v>482</v>
      </c>
      <c r="G277" s="70" t="n">
        <v>46119</v>
      </c>
      <c r="H277" s="70"/>
      <c r="I277" s="70" t="n">
        <v>46263</v>
      </c>
      <c r="J277" s="67" t="s">
        <v>470</v>
      </c>
      <c r="K277" s="67" t="s">
        <v>456</v>
      </c>
      <c r="L277" s="67" t="s">
        <v>451</v>
      </c>
      <c r="M277" s="66" t="n">
        <f aca="false">IF(OR($A277="",$H277&lt;&gt;""),"",Targets!$C$8-$I277)</f>
        <v>2</v>
      </c>
      <c r="N277" s="66" t="str">
        <f aca="false">IF($A277="","",IF(AND($F277="Project",$E277="Active",$M277&lt;&gt;"",$M277&gt;Targets!$C$12),"Yes","No"))</f>
        <v>No</v>
      </c>
      <c r="O277" s="66" t="str">
        <f aca="false">IF($A277="","",IF(AND($G277&gt;=Targets!$C$7,$G277&lt;=Targets!$C$8),"Yes","No"))</f>
        <v>No</v>
      </c>
      <c r="P277" s="66" t="str">
        <f aca="false">IF($A277="","",IF(AND($H277&lt;&gt;"",$H277&gt;=Targets!$C$7,$H277&lt;=Targets!$C$8),"Yes","No"))</f>
        <v>No</v>
      </c>
      <c r="Q277" s="66" t="str">
        <f aca="false">IF($A277="","",IF(AND($F277="Project",$E277&lt;&gt;"Closed",$E277&lt;&gt;"Dormant"),"Yes","No"))</f>
        <v>No</v>
      </c>
      <c r="R277" s="66" t="str">
        <f aca="false">IF($A277="","",IF(AND($L277="In-house",OR($E277="Intake",$E277="Active",$E277="Waiting")),"Yes","No"))</f>
        <v>Yes</v>
      </c>
      <c r="S277" s="66" t="str">
        <f aca="false">IF($A277="","",$C277&amp;" | "&amp;$D277)</f>
        <v>Employment | Investigation underway</v>
      </c>
      <c r="T277" s="66" t="str">
        <f aca="false">IF($A277="","",IF(AND($L277="Outside provider",OR($E277="Intake",$E277="Active",$E277="Waiting")),"Yes","No"))</f>
        <v>No</v>
      </c>
    </row>
    <row r="278" customFormat="false" ht="15" hidden="false" customHeight="true" outlineLevel="0" collapsed="false">
      <c r="A278" s="63" t="s">
        <v>937</v>
      </c>
      <c r="B278" s="63" t="s">
        <v>938</v>
      </c>
      <c r="C278" s="63" t="s">
        <v>446</v>
      </c>
      <c r="D278" s="63" t="s">
        <v>545</v>
      </c>
      <c r="E278" s="63" t="str">
        <f aca="false">IF($A278="","",IFERROR(INDEX('Status map'!$D$6:$D$64,MATCH($C278&amp;" | "&amp;$D278,'Status map'!$I$6:$I$64,0)),"Unmapped"))</f>
        <v>Active</v>
      </c>
      <c r="F278" s="63" t="s">
        <v>448</v>
      </c>
      <c r="G278" s="69" t="n">
        <v>45981</v>
      </c>
      <c r="H278" s="69"/>
      <c r="I278" s="69" t="n">
        <v>46250</v>
      </c>
      <c r="J278" s="63" t="s">
        <v>474</v>
      </c>
      <c r="K278" s="63" t="s">
        <v>449</v>
      </c>
      <c r="L278" s="63" t="s">
        <v>451</v>
      </c>
      <c r="M278" s="66" t="n">
        <f aca="false">IF(OR($A278="",$H278&lt;&gt;""),"",Targets!$C$8-$I278)</f>
        <v>15</v>
      </c>
      <c r="N278" s="66" t="str">
        <f aca="false">IF($A278="","",IF(AND($F278="Project",$E278="Active",$M278&lt;&gt;"",$M278&gt;Targets!$C$12),"Yes","No"))</f>
        <v>No</v>
      </c>
      <c r="O278" s="66" t="str">
        <f aca="false">IF($A278="","",IF(AND($G278&gt;=Targets!$C$7,$G278&lt;=Targets!$C$8),"Yes","No"))</f>
        <v>No</v>
      </c>
      <c r="P278" s="66" t="str">
        <f aca="false">IF($A278="","",IF(AND($H278&lt;&gt;"",$H278&gt;=Targets!$C$7,$H278&lt;=Targets!$C$8),"Yes","No"))</f>
        <v>No</v>
      </c>
      <c r="Q278" s="66" t="str">
        <f aca="false">IF($A278="","",IF(AND($F278="Project",$E278&lt;&gt;"Closed",$E278&lt;&gt;"Dormant"),"Yes","No"))</f>
        <v>Yes</v>
      </c>
      <c r="R278" s="66" t="str">
        <f aca="false">IF($A278="","",IF(AND($L278="In-house",OR($E278="Intake",$E278="Active",$E278="Waiting")),"Yes","No"))</f>
        <v>Yes</v>
      </c>
      <c r="S278" s="66" t="str">
        <f aca="false">IF($A278="","",$C278&amp;" | "&amp;$D278)</f>
        <v>Employment | Investigation underway</v>
      </c>
      <c r="T278" s="66" t="str">
        <f aca="false">IF($A278="","",IF(AND($L278="Outside provider",OR($E278="Intake",$E278="Active",$E278="Waiting")),"Yes","No"))</f>
        <v>No</v>
      </c>
    </row>
    <row r="279" customFormat="false" ht="15" hidden="false" customHeight="true" outlineLevel="0" collapsed="false">
      <c r="A279" s="67" t="s">
        <v>939</v>
      </c>
      <c r="B279" s="67" t="s">
        <v>940</v>
      </c>
      <c r="C279" s="67" t="s">
        <v>446</v>
      </c>
      <c r="D279" s="67" t="s">
        <v>473</v>
      </c>
      <c r="E279" s="67" t="str">
        <f aca="false">IF($A279="","",IFERROR(INDEX('Status map'!$D$6:$D$64,MATCH($C279&amp;" | "&amp;$D279,'Status map'!$I$6:$I$64,0)),"Unmapped"))</f>
        <v>Closed</v>
      </c>
      <c r="F279" s="67" t="s">
        <v>482</v>
      </c>
      <c r="G279" s="70" t="n">
        <v>45870</v>
      </c>
      <c r="H279" s="70" t="n">
        <v>45948</v>
      </c>
      <c r="I279" s="70" t="n">
        <v>45948</v>
      </c>
      <c r="J279" s="67" t="s">
        <v>449</v>
      </c>
      <c r="K279" s="67" t="s">
        <v>492</v>
      </c>
      <c r="L279" s="67" t="s">
        <v>451</v>
      </c>
      <c r="M279" s="66" t="str">
        <f aca="false">IF(OR($A279="",$H279&lt;&gt;""),"",Targets!$C$8-$I279)</f>
        <v/>
      </c>
      <c r="N279" s="66" t="str">
        <f aca="false">IF($A279="","",IF(AND($F279="Project",$E279="Active",$M279&lt;&gt;"",$M279&gt;Targets!$C$12),"Yes","No"))</f>
        <v>No</v>
      </c>
      <c r="O279" s="66" t="str">
        <f aca="false">IF($A279="","",IF(AND($G279&gt;=Targets!$C$7,$G279&lt;=Targets!$C$8),"Yes","No"))</f>
        <v>No</v>
      </c>
      <c r="P279" s="66" t="str">
        <f aca="false">IF($A279="","",IF(AND($H279&lt;&gt;"",$H279&gt;=Targets!$C$7,$H279&lt;=Targets!$C$8),"Yes","No"))</f>
        <v>No</v>
      </c>
      <c r="Q279" s="66" t="str">
        <f aca="false">IF($A279="","",IF(AND($F279="Project",$E279&lt;&gt;"Closed",$E279&lt;&gt;"Dormant"),"Yes","No"))</f>
        <v>No</v>
      </c>
      <c r="R279" s="66" t="str">
        <f aca="false">IF($A279="","",IF(AND($L279="In-house",OR($E279="Intake",$E279="Active",$E279="Waiting")),"Yes","No"))</f>
        <v>No</v>
      </c>
      <c r="S279" s="66" t="str">
        <f aca="false">IF($A279="","",$C279&amp;" | "&amp;$D279)</f>
        <v>Employment | Resolved or closed</v>
      </c>
      <c r="T279" s="66" t="str">
        <f aca="false">IF($A279="","",IF(AND($L279="Outside provider",OR($E279="Intake",$E279="Active",$E279="Waiting")),"Yes","No"))</f>
        <v>No</v>
      </c>
    </row>
    <row r="280" customFormat="false" ht="15" hidden="false" customHeight="true" outlineLevel="0" collapsed="false">
      <c r="A280" s="63" t="s">
        <v>941</v>
      </c>
      <c r="B280" s="63" t="s">
        <v>458</v>
      </c>
      <c r="C280" s="63" t="s">
        <v>459</v>
      </c>
      <c r="D280" s="63" t="s">
        <v>460</v>
      </c>
      <c r="E280" s="63" t="str">
        <f aca="false">IF($A280="","",IFERROR(INDEX('Status map'!$D$6:$D$64,MATCH($C280&amp;" | "&amp;$D280,'Status map'!$I$6:$I$64,0)),"Unmapped"))</f>
        <v>Waiting</v>
      </c>
      <c r="F280" s="63" t="s">
        <v>448</v>
      </c>
      <c r="G280" s="69" t="n">
        <v>46256</v>
      </c>
      <c r="H280" s="69"/>
      <c r="I280" s="69" t="n">
        <v>46261</v>
      </c>
      <c r="J280" s="63" t="s">
        <v>456</v>
      </c>
      <c r="K280" s="63" t="s">
        <v>474</v>
      </c>
      <c r="L280" s="63" t="s">
        <v>451</v>
      </c>
      <c r="M280" s="66" t="n">
        <f aca="false">IF(OR($A280="",$H280&lt;&gt;""),"",Targets!$C$8-$I280)</f>
        <v>4</v>
      </c>
      <c r="N280" s="66" t="str">
        <f aca="false">IF($A280="","",IF(AND($F280="Project",$E280="Active",$M280&lt;&gt;"",$M280&gt;Targets!$C$12),"Yes","No"))</f>
        <v>No</v>
      </c>
      <c r="O280" s="66" t="str">
        <f aca="false">IF($A280="","",IF(AND($G280&gt;=Targets!$C$7,$G280&lt;=Targets!$C$8),"Yes","No"))</f>
        <v>Yes</v>
      </c>
      <c r="P280" s="66" t="str">
        <f aca="false">IF($A280="","",IF(AND($H280&lt;&gt;"",$H280&gt;=Targets!$C$7,$H280&lt;=Targets!$C$8),"Yes","No"))</f>
        <v>No</v>
      </c>
      <c r="Q280" s="66" t="str">
        <f aca="false">IF($A280="","",IF(AND($F280="Project",$E280&lt;&gt;"Closed",$E280&lt;&gt;"Dormant"),"Yes","No"))</f>
        <v>Yes</v>
      </c>
      <c r="R280" s="66" t="str">
        <f aca="false">IF($A280="","",IF(AND($L280="In-house",OR($E280="Intake",$E280="Active",$E280="Waiting")),"Yes","No"))</f>
        <v>Yes</v>
      </c>
      <c r="S280" s="66" t="str">
        <f aca="false">IF($A280="","",$C280&amp;" | "&amp;$D280)</f>
        <v>Contracts | Out for signature or awaiting the counterparty</v>
      </c>
      <c r="T280" s="66" t="str">
        <f aca="false">IF($A280="","",IF(AND($L280="Outside provider",OR($E280="Intake",$E280="Active",$E280="Waiting")),"Yes","No"))</f>
        <v>No</v>
      </c>
    </row>
    <row r="281" customFormat="false" ht="15" hidden="false" customHeight="true" outlineLevel="0" collapsed="false">
      <c r="A281" s="67" t="s">
        <v>942</v>
      </c>
      <c r="B281" s="67" t="s">
        <v>943</v>
      </c>
      <c r="C281" s="67" t="s">
        <v>454</v>
      </c>
      <c r="D281" s="67" t="s">
        <v>455</v>
      </c>
      <c r="E281" s="67" t="str">
        <f aca="false">IF($A281="","",IFERROR(INDEX('Status map'!$D$6:$D$64,MATCH($C281&amp;" | "&amp;$D281,'Status map'!$I$6:$I$64,0)),"Unmapped"))</f>
        <v>Closed</v>
      </c>
      <c r="F281" s="67" t="s">
        <v>448</v>
      </c>
      <c r="G281" s="70" t="n">
        <v>46024</v>
      </c>
      <c r="H281" s="70" t="n">
        <v>46264</v>
      </c>
      <c r="I281" s="70" t="n">
        <v>46264</v>
      </c>
      <c r="J281" s="67" t="s">
        <v>470</v>
      </c>
      <c r="K281" s="67" t="s">
        <v>470</v>
      </c>
      <c r="L281" s="67" t="s">
        <v>451</v>
      </c>
      <c r="M281" s="66" t="str">
        <f aca="false">IF(OR($A281="",$H281&lt;&gt;""),"",Targets!$C$8-$I281)</f>
        <v/>
      </c>
      <c r="N281" s="66" t="str">
        <f aca="false">IF($A281="","",IF(AND($F281="Project",$E281="Active",$M281&lt;&gt;"",$M281&gt;Targets!$C$12),"Yes","No"))</f>
        <v>No</v>
      </c>
      <c r="O281" s="66" t="str">
        <f aca="false">IF($A281="","",IF(AND($G281&gt;=Targets!$C$7,$G281&lt;=Targets!$C$8),"Yes","No"))</f>
        <v>No</v>
      </c>
      <c r="P281" s="66" t="str">
        <f aca="false">IF($A281="","",IF(AND($H281&lt;&gt;"",$H281&gt;=Targets!$C$7,$H281&lt;=Targets!$C$8),"Yes","No"))</f>
        <v>Yes</v>
      </c>
      <c r="Q281" s="66" t="str">
        <f aca="false">IF($A281="","",IF(AND($F281="Project",$E281&lt;&gt;"Closed",$E281&lt;&gt;"Dormant"),"Yes","No"))</f>
        <v>No</v>
      </c>
      <c r="R281" s="66" t="str">
        <f aca="false">IF($A281="","",IF(AND($L281="In-house",OR($E281="Intake",$E281="Active",$E281="Waiting")),"Yes","No"))</f>
        <v>No</v>
      </c>
      <c r="S281" s="66" t="str">
        <f aca="false">IF($A281="","",$C281&amp;" | "&amp;$D281)</f>
        <v>Litigation | Settled, dismissed, or judgment entered</v>
      </c>
      <c r="T281" s="66" t="str">
        <f aca="false">IF($A281="","",IF(AND($L281="Outside provider",OR($E281="Intake",$E281="Active",$E281="Waiting")),"Yes","No"))</f>
        <v>No</v>
      </c>
    </row>
    <row r="282" customFormat="false" ht="15" hidden="false" customHeight="true" outlineLevel="0" collapsed="false">
      <c r="A282" s="63" t="s">
        <v>944</v>
      </c>
      <c r="B282" s="63" t="s">
        <v>945</v>
      </c>
      <c r="C282" s="63" t="s">
        <v>465</v>
      </c>
      <c r="D282" s="63" t="s">
        <v>466</v>
      </c>
      <c r="E282" s="63" t="str">
        <f aca="false">IF($A282="","",IFERROR(INDEX('Status map'!$D$6:$D$64,MATCH($C282&amp;" | "&amp;$D282,'Status map'!$I$6:$I$64,0)),"Unmapped"))</f>
        <v>Closed</v>
      </c>
      <c r="F282" s="63" t="s">
        <v>448</v>
      </c>
      <c r="G282" s="69" t="n">
        <v>46071</v>
      </c>
      <c r="H282" s="69" t="n">
        <v>46120</v>
      </c>
      <c r="I282" s="69" t="n">
        <v>46120</v>
      </c>
      <c r="J282" s="63" t="s">
        <v>456</v>
      </c>
      <c r="K282" s="63" t="s">
        <v>492</v>
      </c>
      <c r="L282" s="63" t="s">
        <v>451</v>
      </c>
      <c r="M282" s="66" t="str">
        <f aca="false">IF(OR($A282="",$H282&lt;&gt;""),"",Targets!$C$8-$I282)</f>
        <v/>
      </c>
      <c r="N282" s="66" t="str">
        <f aca="false">IF($A282="","",IF(AND($F282="Project",$E282="Active",$M282&lt;&gt;"",$M282&gt;Targets!$C$12),"Yes","No"))</f>
        <v>No</v>
      </c>
      <c r="O282" s="66" t="str">
        <f aca="false">IF($A282="","",IF(AND($G282&gt;=Targets!$C$7,$G282&lt;=Targets!$C$8),"Yes","No"))</f>
        <v>No</v>
      </c>
      <c r="P282" s="66" t="str">
        <f aca="false">IF($A282="","",IF(AND($H282&lt;&gt;"",$H282&gt;=Targets!$C$7,$H282&lt;=Targets!$C$8),"Yes","No"))</f>
        <v>No</v>
      </c>
      <c r="Q282" s="66" t="str">
        <f aca="false">IF($A282="","",IF(AND($F282="Project",$E282&lt;&gt;"Closed",$E282&lt;&gt;"Dormant"),"Yes","No"))</f>
        <v>No</v>
      </c>
      <c r="R282" s="66" t="str">
        <f aca="false">IF($A282="","",IF(AND($L282="In-house",OR($E282="Intake",$E282="Active",$E282="Waiting")),"Yes","No"))</f>
        <v>No</v>
      </c>
      <c r="S282" s="66" t="str">
        <f aca="false">IF($A282="","",$C282&amp;" | "&amp;$D282)</f>
        <v>Immigration and visas | Denied or withdrawn</v>
      </c>
      <c r="T282" s="66" t="str">
        <f aca="false">IF($A282="","",IF(AND($L282="Outside provider",OR($E282="Intake",$E282="Active",$E282="Waiting")),"Yes","No"))</f>
        <v>No</v>
      </c>
    </row>
    <row r="283" customFormat="false" ht="15" hidden="false" customHeight="true" outlineLevel="0" collapsed="false">
      <c r="A283" s="67" t="s">
        <v>946</v>
      </c>
      <c r="B283" s="67" t="s">
        <v>940</v>
      </c>
      <c r="C283" s="67" t="s">
        <v>446</v>
      </c>
      <c r="D283" s="67" t="s">
        <v>545</v>
      </c>
      <c r="E283" s="67" t="str">
        <f aca="false">IF($A283="","",IFERROR(INDEX('Status map'!$D$6:$D$64,MATCH($C283&amp;" | "&amp;$D283,'Status map'!$I$6:$I$64,0)),"Unmapped"))</f>
        <v>Active</v>
      </c>
      <c r="F283" s="67" t="s">
        <v>448</v>
      </c>
      <c r="G283" s="70" t="n">
        <v>46252</v>
      </c>
      <c r="H283" s="70"/>
      <c r="I283" s="70" t="n">
        <v>46249</v>
      </c>
      <c r="J283" s="67" t="s">
        <v>492</v>
      </c>
      <c r="K283" s="67" t="s">
        <v>474</v>
      </c>
      <c r="L283" s="67" t="s">
        <v>451</v>
      </c>
      <c r="M283" s="66" t="n">
        <f aca="false">IF(OR($A283="",$H283&lt;&gt;""),"",Targets!$C$8-$I283)</f>
        <v>16</v>
      </c>
      <c r="N283" s="66" t="str">
        <f aca="false">IF($A283="","",IF(AND($F283="Project",$E283="Active",$M283&lt;&gt;"",$M283&gt;Targets!$C$12),"Yes","No"))</f>
        <v>No</v>
      </c>
      <c r="O283" s="66" t="str">
        <f aca="false">IF($A283="","",IF(AND($G283&gt;=Targets!$C$7,$G283&lt;=Targets!$C$8),"Yes","No"))</f>
        <v>Yes</v>
      </c>
      <c r="P283" s="66" t="str">
        <f aca="false">IF($A283="","",IF(AND($H283&lt;&gt;"",$H283&gt;=Targets!$C$7,$H283&lt;=Targets!$C$8),"Yes","No"))</f>
        <v>No</v>
      </c>
      <c r="Q283" s="66" t="str">
        <f aca="false">IF($A283="","",IF(AND($F283="Project",$E283&lt;&gt;"Closed",$E283&lt;&gt;"Dormant"),"Yes","No"))</f>
        <v>Yes</v>
      </c>
      <c r="R283" s="66" t="str">
        <f aca="false">IF($A283="","",IF(AND($L283="In-house",OR($E283="Intake",$E283="Active",$E283="Waiting")),"Yes","No"))</f>
        <v>Yes</v>
      </c>
      <c r="S283" s="66" t="str">
        <f aca="false">IF($A283="","",$C283&amp;" | "&amp;$D283)</f>
        <v>Employment | Investigation underway</v>
      </c>
      <c r="T283" s="66" t="str">
        <f aca="false">IF($A283="","",IF(AND($L283="Outside provider",OR($E283="Intake",$E283="Active",$E283="Waiting")),"Yes","No"))</f>
        <v>No</v>
      </c>
    </row>
    <row r="284" customFormat="false" ht="15" hidden="false" customHeight="true" outlineLevel="0" collapsed="false">
      <c r="A284" s="63" t="s">
        <v>947</v>
      </c>
      <c r="B284" s="63" t="s">
        <v>948</v>
      </c>
      <c r="C284" s="63" t="s">
        <v>487</v>
      </c>
      <c r="D284" s="63" t="s">
        <v>636</v>
      </c>
      <c r="E284" s="63" t="str">
        <f aca="false">IF($A284="","",IFERROR(INDEX('Status map'!$D$6:$D$64,MATCH($C284&amp;" | "&amp;$D284,'Status map'!$I$6:$I$64,0)),"Unmapped"))</f>
        <v>Active</v>
      </c>
      <c r="F284" s="63" t="s">
        <v>482</v>
      </c>
      <c r="G284" s="69" t="n">
        <v>46178</v>
      </c>
      <c r="H284" s="69"/>
      <c r="I284" s="69" t="n">
        <v>46256</v>
      </c>
      <c r="J284" s="63" t="s">
        <v>462</v>
      </c>
      <c r="K284" s="63" t="s">
        <v>461</v>
      </c>
      <c r="L284" s="63" t="s">
        <v>451</v>
      </c>
      <c r="M284" s="66" t="n">
        <f aca="false">IF(OR($A284="",$H284&lt;&gt;""),"",Targets!$C$8-$I284)</f>
        <v>9</v>
      </c>
      <c r="N284" s="66" t="str">
        <f aca="false">IF($A284="","",IF(AND($F284="Project",$E284="Active",$M284&lt;&gt;"",$M284&gt;Targets!$C$12),"Yes","No"))</f>
        <v>No</v>
      </c>
      <c r="O284" s="66" t="str">
        <f aca="false">IF($A284="","",IF(AND($G284&gt;=Targets!$C$7,$G284&lt;=Targets!$C$8),"Yes","No"))</f>
        <v>No</v>
      </c>
      <c r="P284" s="66" t="str">
        <f aca="false">IF($A284="","",IF(AND($H284&lt;&gt;"",$H284&gt;=Targets!$C$7,$H284&lt;=Targets!$C$8),"Yes","No"))</f>
        <v>No</v>
      </c>
      <c r="Q284" s="66" t="str">
        <f aca="false">IF($A284="","",IF(AND($F284="Project",$E284&lt;&gt;"Closed",$E284&lt;&gt;"Dormant"),"Yes","No"))</f>
        <v>No</v>
      </c>
      <c r="R284" s="66" t="str">
        <f aca="false">IF($A284="","",IF(AND($L284="In-house",OR($E284="Intake",$E284="Active",$E284="Waiting")),"Yes","No"))</f>
        <v>Yes</v>
      </c>
      <c r="S284" s="66" t="str">
        <f aca="false">IF($A284="","",$C284&amp;" | "&amp;$D284)</f>
        <v>Corporate and entity management | Formation, change, or dissolution in progress</v>
      </c>
      <c r="T284" s="66" t="str">
        <f aca="false">IF($A284="","",IF(AND($L284="Outside provider",OR($E284="Intake",$E284="Active",$E284="Waiting")),"Yes","No"))</f>
        <v>No</v>
      </c>
    </row>
    <row r="285" customFormat="false" ht="15" hidden="false" customHeight="true" outlineLevel="0" collapsed="false">
      <c r="A285" s="67" t="s">
        <v>949</v>
      </c>
      <c r="B285" s="67" t="s">
        <v>950</v>
      </c>
      <c r="C285" s="67" t="s">
        <v>501</v>
      </c>
      <c r="D285" s="67" t="s">
        <v>683</v>
      </c>
      <c r="E285" s="67" t="str">
        <f aca="false">IF($A285="","",IFERROR(INDEX('Status map'!$D$6:$D$64,MATCH($C285&amp;" | "&amp;$D285,'Status map'!$I$6:$I$64,0)),"Unmapped"))</f>
        <v>Active</v>
      </c>
      <c r="F285" s="67" t="s">
        <v>448</v>
      </c>
      <c r="G285" s="70" t="n">
        <v>46137</v>
      </c>
      <c r="H285" s="70"/>
      <c r="I285" s="70" t="n">
        <v>46244</v>
      </c>
      <c r="J285" s="67" t="s">
        <v>462</v>
      </c>
      <c r="K285" s="67" t="s">
        <v>470</v>
      </c>
      <c r="L285" s="67" t="s">
        <v>451</v>
      </c>
      <c r="M285" s="66" t="n">
        <f aca="false">IF(OR($A285="",$H285&lt;&gt;""),"",Targets!$C$8-$I285)</f>
        <v>21</v>
      </c>
      <c r="N285" s="66" t="str">
        <f aca="false">IF($A285="","",IF(AND($F285="Project",$E285="Active",$M285&lt;&gt;"",$M285&gt;Targets!$C$12),"Yes","No"))</f>
        <v>No</v>
      </c>
      <c r="O285" s="66" t="str">
        <f aca="false">IF($A285="","",IF(AND($G285&gt;=Targets!$C$7,$G285&lt;=Targets!$C$8),"Yes","No"))</f>
        <v>No</v>
      </c>
      <c r="P285" s="66" t="str">
        <f aca="false">IF($A285="","",IF(AND($H285&lt;&gt;"",$H285&gt;=Targets!$C$7,$H285&lt;=Targets!$C$8),"Yes","No"))</f>
        <v>No</v>
      </c>
      <c r="Q285" s="66" t="str">
        <f aca="false">IF($A285="","",IF(AND($F285="Project",$E285&lt;&gt;"Closed",$E285&lt;&gt;"Dormant"),"Yes","No"))</f>
        <v>Yes</v>
      </c>
      <c r="R285" s="66" t="str">
        <f aca="false">IF($A285="","",IF(AND($L285="In-house",OR($E285="Intake",$E285="Active",$E285="Waiting")),"Yes","No"))</f>
        <v>Yes</v>
      </c>
      <c r="S285" s="66" t="str">
        <f aca="false">IF($A285="","",$C285&amp;" | "&amp;$D285)</f>
        <v>M&amp;A and corporate deals | Due diligence and negotiation underway</v>
      </c>
      <c r="T285" s="66" t="str">
        <f aca="false">IF($A285="","",IF(AND($L285="Outside provider",OR($E285="Intake",$E285="Active",$E285="Waiting")),"Yes","No"))</f>
        <v>No</v>
      </c>
    </row>
    <row r="286" customFormat="false" ht="15" hidden="false" customHeight="true" outlineLevel="0" collapsed="false">
      <c r="A286" s="63" t="s">
        <v>951</v>
      </c>
      <c r="B286" s="63" t="s">
        <v>952</v>
      </c>
      <c r="C286" s="63" t="s">
        <v>487</v>
      </c>
      <c r="D286" s="63" t="s">
        <v>548</v>
      </c>
      <c r="E286" s="63" t="str">
        <f aca="false">IF($A286="","",IFERROR(INDEX('Status map'!$D$6:$D$64,MATCH($C286&amp;" | "&amp;$D286,'Status map'!$I$6:$I$64,0)),"Unmapped"))</f>
        <v>Dormant</v>
      </c>
      <c r="F286" s="63" t="s">
        <v>510</v>
      </c>
      <c r="G286" s="69" t="n">
        <v>44228</v>
      </c>
      <c r="H286" s="69"/>
      <c r="I286" s="69" t="n">
        <v>46184</v>
      </c>
      <c r="J286" s="63" t="s">
        <v>450</v>
      </c>
      <c r="K286" s="63" t="s">
        <v>462</v>
      </c>
      <c r="L286" s="63" t="s">
        <v>451</v>
      </c>
      <c r="M286" s="66" t="n">
        <f aca="false">IF(OR($A286="",$H286&lt;&gt;""),"",Targets!$C$8-$I286)</f>
        <v>81</v>
      </c>
      <c r="N286" s="66" t="str">
        <f aca="false">IF($A286="","",IF(AND($F286="Project",$E286="Active",$M286&lt;&gt;"",$M286&gt;Targets!$C$12),"Yes","No"))</f>
        <v>No</v>
      </c>
      <c r="O286" s="66" t="str">
        <f aca="false">IF($A286="","",IF(AND($G286&gt;=Targets!$C$7,$G286&lt;=Targets!$C$8),"Yes","No"))</f>
        <v>No</v>
      </c>
      <c r="P286" s="66" t="str">
        <f aca="false">IF($A286="","",IF(AND($H286&lt;&gt;"",$H286&gt;=Targets!$C$7,$H286&lt;=Targets!$C$8),"Yes","No"))</f>
        <v>No</v>
      </c>
      <c r="Q286" s="66" t="str">
        <f aca="false">IF($A286="","",IF(AND($F286="Project",$E286&lt;&gt;"Closed",$E286&lt;&gt;"Dormant"),"Yes","No"))</f>
        <v>No</v>
      </c>
      <c r="R286" s="66" t="str">
        <f aca="false">IF($A286="","",IF(AND($L286="In-house",OR($E286="Intake",$E286="Active",$E286="Waiting")),"Yes","No"))</f>
        <v>No</v>
      </c>
      <c r="S286" s="66" t="str">
        <f aca="false">IF($A286="","",$C286&amp;" | "&amp;$D286)</f>
        <v>Corporate and entity management | Entity in good standing</v>
      </c>
      <c r="T286" s="66" t="str">
        <f aca="false">IF($A286="","",IF(AND($L286="Outside provider",OR($E286="Intake",$E286="Active",$E286="Waiting")),"Yes","No"))</f>
        <v>No</v>
      </c>
    </row>
    <row r="287" customFormat="false" ht="15" hidden="false" customHeight="true" outlineLevel="0" collapsed="false">
      <c r="A287" s="67" t="s">
        <v>953</v>
      </c>
      <c r="B287" s="67" t="s">
        <v>894</v>
      </c>
      <c r="C287" s="67" t="s">
        <v>446</v>
      </c>
      <c r="D287" s="67" t="s">
        <v>473</v>
      </c>
      <c r="E287" s="67" t="str">
        <f aca="false">IF($A287="","",IFERROR(INDEX('Status map'!$D$6:$D$64,MATCH($C287&amp;" | "&amp;$D287,'Status map'!$I$6:$I$64,0)),"Unmapped"))</f>
        <v>Closed</v>
      </c>
      <c r="F287" s="67" t="s">
        <v>448</v>
      </c>
      <c r="G287" s="70" t="n">
        <v>46236</v>
      </c>
      <c r="H287" s="70" t="n">
        <v>46244</v>
      </c>
      <c r="I287" s="70" t="n">
        <v>46244</v>
      </c>
      <c r="J287" s="67" t="s">
        <v>456</v>
      </c>
      <c r="K287" s="67" t="s">
        <v>461</v>
      </c>
      <c r="L287" s="67" t="s">
        <v>451</v>
      </c>
      <c r="M287" s="66" t="str">
        <f aca="false">IF(OR($A287="",$H287&lt;&gt;""),"",Targets!$C$8-$I287)</f>
        <v/>
      </c>
      <c r="N287" s="66" t="str">
        <f aca="false">IF($A287="","",IF(AND($F287="Project",$E287="Active",$M287&lt;&gt;"",$M287&gt;Targets!$C$12),"Yes","No"))</f>
        <v>No</v>
      </c>
      <c r="O287" s="66" t="str">
        <f aca="false">IF($A287="","",IF(AND($G287&gt;=Targets!$C$7,$G287&lt;=Targets!$C$8),"Yes","No"))</f>
        <v>Yes</v>
      </c>
      <c r="P287" s="66" t="str">
        <f aca="false">IF($A287="","",IF(AND($H287&lt;&gt;"",$H287&gt;=Targets!$C$7,$H287&lt;=Targets!$C$8),"Yes","No"))</f>
        <v>Yes</v>
      </c>
      <c r="Q287" s="66" t="str">
        <f aca="false">IF($A287="","",IF(AND($F287="Project",$E287&lt;&gt;"Closed",$E287&lt;&gt;"Dormant"),"Yes","No"))</f>
        <v>No</v>
      </c>
      <c r="R287" s="66" t="str">
        <f aca="false">IF($A287="","",IF(AND($L287="In-house",OR($E287="Intake",$E287="Active",$E287="Waiting")),"Yes","No"))</f>
        <v>No</v>
      </c>
      <c r="S287" s="66" t="str">
        <f aca="false">IF($A287="","",$C287&amp;" | "&amp;$D287)</f>
        <v>Employment | Resolved or closed</v>
      </c>
      <c r="T287" s="66" t="str">
        <f aca="false">IF($A287="","",IF(AND($L287="Outside provider",OR($E287="Intake",$E287="Active",$E287="Waiting")),"Yes","No"))</f>
        <v>No</v>
      </c>
    </row>
    <row r="288" customFormat="false" ht="15" hidden="false" customHeight="true" outlineLevel="0" collapsed="false">
      <c r="A288" s="63" t="s">
        <v>954</v>
      </c>
      <c r="B288" s="63" t="s">
        <v>678</v>
      </c>
      <c r="C288" s="63" t="s">
        <v>454</v>
      </c>
      <c r="D288" s="63" t="s">
        <v>455</v>
      </c>
      <c r="E288" s="63" t="str">
        <f aca="false">IF($A288="","",IFERROR(INDEX('Status map'!$D$6:$D$64,MATCH($C288&amp;" | "&amp;$D288,'Status map'!$I$6:$I$64,0)),"Unmapped"))</f>
        <v>Closed</v>
      </c>
      <c r="F288" s="63" t="s">
        <v>448</v>
      </c>
      <c r="G288" s="69" t="n">
        <v>46161</v>
      </c>
      <c r="H288" s="69" t="n">
        <v>46229</v>
      </c>
      <c r="I288" s="69" t="n">
        <v>46229</v>
      </c>
      <c r="J288" s="63" t="s">
        <v>474</v>
      </c>
      <c r="K288" s="63" t="s">
        <v>450</v>
      </c>
      <c r="L288" s="63" t="s">
        <v>451</v>
      </c>
      <c r="M288" s="66" t="str">
        <f aca="false">IF(OR($A288="",$H288&lt;&gt;""),"",Targets!$C$8-$I288)</f>
        <v/>
      </c>
      <c r="N288" s="66" t="str">
        <f aca="false">IF($A288="","",IF(AND($F288="Project",$E288="Active",$M288&lt;&gt;"",$M288&gt;Targets!$C$12),"Yes","No"))</f>
        <v>No</v>
      </c>
      <c r="O288" s="66" t="str">
        <f aca="false">IF($A288="","",IF(AND($G288&gt;=Targets!$C$7,$G288&lt;=Targets!$C$8),"Yes","No"))</f>
        <v>No</v>
      </c>
      <c r="P288" s="66" t="str">
        <f aca="false">IF($A288="","",IF(AND($H288&lt;&gt;"",$H288&gt;=Targets!$C$7,$H288&lt;=Targets!$C$8),"Yes","No"))</f>
        <v>No</v>
      </c>
      <c r="Q288" s="66" t="str">
        <f aca="false">IF($A288="","",IF(AND($F288="Project",$E288&lt;&gt;"Closed",$E288&lt;&gt;"Dormant"),"Yes","No"))</f>
        <v>No</v>
      </c>
      <c r="R288" s="66" t="str">
        <f aca="false">IF($A288="","",IF(AND($L288="In-house",OR($E288="Intake",$E288="Active",$E288="Waiting")),"Yes","No"))</f>
        <v>No</v>
      </c>
      <c r="S288" s="66" t="str">
        <f aca="false">IF($A288="","",$C288&amp;" | "&amp;$D288)</f>
        <v>Litigation | Settled, dismissed, or judgment entered</v>
      </c>
      <c r="T288" s="66" t="str">
        <f aca="false">IF($A288="","",IF(AND($L288="Outside provider",OR($E288="Intake",$E288="Active",$E288="Waiting")),"Yes","No"))</f>
        <v>No</v>
      </c>
    </row>
    <row r="289" customFormat="false" ht="15" hidden="false" customHeight="true" outlineLevel="0" collapsed="false">
      <c r="A289" s="67" t="s">
        <v>955</v>
      </c>
      <c r="B289" s="67" t="s">
        <v>956</v>
      </c>
      <c r="C289" s="67" t="s">
        <v>487</v>
      </c>
      <c r="D289" s="67" t="s">
        <v>751</v>
      </c>
      <c r="E289" s="67" t="str">
        <f aca="false">IF($A289="","",IFERROR(INDEX('Status map'!$D$6:$D$64,MATCH($C289&amp;" | "&amp;$D289,'Status map'!$I$6:$I$64,0)),"Unmapped"))</f>
        <v>Waiting</v>
      </c>
      <c r="F289" s="67" t="s">
        <v>510</v>
      </c>
      <c r="G289" s="70" t="n">
        <v>44368</v>
      </c>
      <c r="H289" s="70"/>
      <c r="I289" s="70" t="n">
        <v>46225</v>
      </c>
      <c r="J289" s="67" t="s">
        <v>456</v>
      </c>
      <c r="K289" s="67" t="s">
        <v>450</v>
      </c>
      <c r="L289" s="67" t="s">
        <v>451</v>
      </c>
      <c r="M289" s="66" t="n">
        <f aca="false">IF(OR($A289="",$H289&lt;&gt;""),"",Targets!$C$8-$I289)</f>
        <v>40</v>
      </c>
      <c r="N289" s="66" t="str">
        <f aca="false">IF($A289="","",IF(AND($F289="Project",$E289="Active",$M289&lt;&gt;"",$M289&gt;Targets!$C$12),"Yes","No"))</f>
        <v>No</v>
      </c>
      <c r="O289" s="66" t="str">
        <f aca="false">IF($A289="","",IF(AND($G289&gt;=Targets!$C$7,$G289&lt;=Targets!$C$8),"Yes","No"))</f>
        <v>No</v>
      </c>
      <c r="P289" s="66" t="str">
        <f aca="false">IF($A289="","",IF(AND($H289&lt;&gt;"",$H289&gt;=Targets!$C$7,$H289&lt;=Targets!$C$8),"Yes","No"))</f>
        <v>No</v>
      </c>
      <c r="Q289" s="66" t="str">
        <f aca="false">IF($A289="","",IF(AND($F289="Project",$E289&lt;&gt;"Closed",$E289&lt;&gt;"Dormant"),"Yes","No"))</f>
        <v>No</v>
      </c>
      <c r="R289" s="66" t="str">
        <f aca="false">IF($A289="","",IF(AND($L289="In-house",OR($E289="Intake",$E289="Active",$E289="Waiting")),"Yes","No"))</f>
        <v>Yes</v>
      </c>
      <c r="S289" s="66" t="str">
        <f aca="false">IF($A289="","",$C289&amp;" | "&amp;$D289)</f>
        <v>Corporate and entity management | Awaiting a state or registry filing to process</v>
      </c>
      <c r="T289" s="66" t="str">
        <f aca="false">IF($A289="","",IF(AND($L289="Outside provider",OR($E289="Intake",$E289="Active",$E289="Waiting")),"Yes","No"))</f>
        <v>No</v>
      </c>
    </row>
    <row r="290" customFormat="false" ht="15" hidden="false" customHeight="true" outlineLevel="0" collapsed="false">
      <c r="A290" s="63" t="s">
        <v>957</v>
      </c>
      <c r="B290" s="63" t="s">
        <v>756</v>
      </c>
      <c r="C290" s="63" t="s">
        <v>459</v>
      </c>
      <c r="D290" s="63" t="s">
        <v>534</v>
      </c>
      <c r="E290" s="63" t="str">
        <f aca="false">IF($A290="","",IFERROR(INDEX('Status map'!$D$6:$D$64,MATCH($C290&amp;" | "&amp;$D290,'Status map'!$I$6:$I$64,0)),"Unmapped"))</f>
        <v>Dormant</v>
      </c>
      <c r="F290" s="63" t="s">
        <v>510</v>
      </c>
      <c r="G290" s="69" t="n">
        <v>45154</v>
      </c>
      <c r="H290" s="69"/>
      <c r="I290" s="69" t="n">
        <v>46064</v>
      </c>
      <c r="J290" s="63" t="s">
        <v>470</v>
      </c>
      <c r="K290" s="63" t="s">
        <v>474</v>
      </c>
      <c r="L290" s="63" t="s">
        <v>451</v>
      </c>
      <c r="M290" s="66" t="n">
        <f aca="false">IF(OR($A290="",$H290&lt;&gt;""),"",Targets!$C$8-$I290)</f>
        <v>201</v>
      </c>
      <c r="N290" s="66" t="str">
        <f aca="false">IF($A290="","",IF(AND($F290="Project",$E290="Active",$M290&lt;&gt;"",$M290&gt;Targets!$C$12),"Yes","No"))</f>
        <v>No</v>
      </c>
      <c r="O290" s="66" t="str">
        <f aca="false">IF($A290="","",IF(AND($G290&gt;=Targets!$C$7,$G290&lt;=Targets!$C$8),"Yes","No"))</f>
        <v>No</v>
      </c>
      <c r="P290" s="66" t="str">
        <f aca="false">IF($A290="","",IF(AND($H290&lt;&gt;"",$H290&gt;=Targets!$C$7,$H290&lt;=Targets!$C$8),"Yes","No"))</f>
        <v>No</v>
      </c>
      <c r="Q290" s="66" t="str">
        <f aca="false">IF($A290="","",IF(AND($F290="Project",$E290&lt;&gt;"Closed",$E290&lt;&gt;"Dormant"),"Yes","No"))</f>
        <v>No</v>
      </c>
      <c r="R290" s="66" t="str">
        <f aca="false">IF($A290="","",IF(AND($L290="In-house",OR($E290="Intake",$E290="Active",$E290="Waiting")),"Yes","No"))</f>
        <v>No</v>
      </c>
      <c r="S290" s="66" t="str">
        <f aca="false">IF($A290="","",$C290&amp;" | "&amp;$D290)</f>
        <v>Contracts | Standing agreement tracked for renewal</v>
      </c>
      <c r="T290" s="66" t="str">
        <f aca="false">IF($A290="","",IF(AND($L290="Outside provider",OR($E290="Intake",$E290="Active",$E290="Waiting")),"Yes","No"))</f>
        <v>No</v>
      </c>
    </row>
    <row r="291" customFormat="false" ht="15" hidden="false" customHeight="true" outlineLevel="0" collapsed="false">
      <c r="A291" s="67" t="s">
        <v>958</v>
      </c>
      <c r="B291" s="67" t="s">
        <v>959</v>
      </c>
      <c r="C291" s="67" t="s">
        <v>454</v>
      </c>
      <c r="D291" s="67" t="s">
        <v>514</v>
      </c>
      <c r="E291" s="67" t="str">
        <f aca="false">IF($A291="","",IFERROR(INDEX('Status map'!$D$6:$D$64,MATCH($C291&amp;" | "&amp;$D291,'Status map'!$I$6:$I$64,0)),"Unmapped"))</f>
        <v>Active</v>
      </c>
      <c r="F291" s="67" t="s">
        <v>448</v>
      </c>
      <c r="G291" s="70" t="n">
        <v>45867</v>
      </c>
      <c r="H291" s="70"/>
      <c r="I291" s="70" t="n">
        <v>46244</v>
      </c>
      <c r="J291" s="67" t="s">
        <v>470</v>
      </c>
      <c r="K291" s="67" t="s">
        <v>462</v>
      </c>
      <c r="L291" s="67" t="s">
        <v>451</v>
      </c>
      <c r="M291" s="66" t="n">
        <f aca="false">IF(OR($A291="",$H291&lt;&gt;""),"",Targets!$C$8-$I291)</f>
        <v>21</v>
      </c>
      <c r="N291" s="66" t="str">
        <f aca="false">IF($A291="","",IF(AND($F291="Project",$E291="Active",$M291&lt;&gt;"",$M291&gt;Targets!$C$12),"Yes","No"))</f>
        <v>No</v>
      </c>
      <c r="O291" s="66" t="str">
        <f aca="false">IF($A291="","",IF(AND($G291&gt;=Targets!$C$7,$G291&lt;=Targets!$C$8),"Yes","No"))</f>
        <v>No</v>
      </c>
      <c r="P291" s="66" t="str">
        <f aca="false">IF($A291="","",IF(AND($H291&lt;&gt;"",$H291&gt;=Targets!$C$7,$H291&lt;=Targets!$C$8),"Yes","No"))</f>
        <v>No</v>
      </c>
      <c r="Q291" s="66" t="str">
        <f aca="false">IF($A291="","",IF(AND($F291="Project",$E291&lt;&gt;"Closed",$E291&lt;&gt;"Dormant"),"Yes","No"))</f>
        <v>Yes</v>
      </c>
      <c r="R291" s="66" t="str">
        <f aca="false">IF($A291="","",IF(AND($L291="In-house",OR($E291="Intake",$E291="Active",$E291="Waiting")),"Yes","No"))</f>
        <v>Yes</v>
      </c>
      <c r="S291" s="66" t="str">
        <f aca="false">IF($A291="","",$C291&amp;" | "&amp;$D291)</f>
        <v>Litigation | Active discovery, motions, or trial prep</v>
      </c>
      <c r="T291" s="66" t="str">
        <f aca="false">IF($A291="","",IF(AND($L291="Outside provider",OR($E291="Intake",$E291="Active",$E291="Waiting")),"Yes","No"))</f>
        <v>No</v>
      </c>
    </row>
    <row r="292" customFormat="false" ht="15" hidden="false" customHeight="true" outlineLevel="0" collapsed="false">
      <c r="A292" s="63" t="s">
        <v>960</v>
      </c>
      <c r="B292" s="63" t="s">
        <v>802</v>
      </c>
      <c r="C292" s="63" t="s">
        <v>446</v>
      </c>
      <c r="D292" s="63" t="s">
        <v>473</v>
      </c>
      <c r="E292" s="63" t="str">
        <f aca="false">IF($A292="","",IFERROR(INDEX('Status map'!$D$6:$D$64,MATCH($C292&amp;" | "&amp;$D292,'Status map'!$I$6:$I$64,0)),"Unmapped"))</f>
        <v>Closed</v>
      </c>
      <c r="F292" s="63" t="s">
        <v>448</v>
      </c>
      <c r="G292" s="69" t="n">
        <v>46175</v>
      </c>
      <c r="H292" s="69" t="n">
        <v>46257</v>
      </c>
      <c r="I292" s="69" t="n">
        <v>46257</v>
      </c>
      <c r="J292" s="63" t="s">
        <v>450</v>
      </c>
      <c r="K292" s="63" t="s">
        <v>461</v>
      </c>
      <c r="L292" s="63" t="s">
        <v>451</v>
      </c>
      <c r="M292" s="66" t="str">
        <f aca="false">IF(OR($A292="",$H292&lt;&gt;""),"",Targets!$C$8-$I292)</f>
        <v/>
      </c>
      <c r="N292" s="66" t="str">
        <f aca="false">IF($A292="","",IF(AND($F292="Project",$E292="Active",$M292&lt;&gt;"",$M292&gt;Targets!$C$12),"Yes","No"))</f>
        <v>No</v>
      </c>
      <c r="O292" s="66" t="str">
        <f aca="false">IF($A292="","",IF(AND($G292&gt;=Targets!$C$7,$G292&lt;=Targets!$C$8),"Yes","No"))</f>
        <v>No</v>
      </c>
      <c r="P292" s="66" t="str">
        <f aca="false">IF($A292="","",IF(AND($H292&lt;&gt;"",$H292&gt;=Targets!$C$7,$H292&lt;=Targets!$C$8),"Yes","No"))</f>
        <v>Yes</v>
      </c>
      <c r="Q292" s="66" t="str">
        <f aca="false">IF($A292="","",IF(AND($F292="Project",$E292&lt;&gt;"Closed",$E292&lt;&gt;"Dormant"),"Yes","No"))</f>
        <v>No</v>
      </c>
      <c r="R292" s="66" t="str">
        <f aca="false">IF($A292="","",IF(AND($L292="In-house",OR($E292="Intake",$E292="Active",$E292="Waiting")),"Yes","No"))</f>
        <v>No</v>
      </c>
      <c r="S292" s="66" t="str">
        <f aca="false">IF($A292="","",$C292&amp;" | "&amp;$D292)</f>
        <v>Employment | Resolved or closed</v>
      </c>
      <c r="T292" s="66" t="str">
        <f aca="false">IF($A292="","",IF(AND($L292="Outside provider",OR($E292="Intake",$E292="Active",$E292="Waiting")),"Yes","No"))</f>
        <v>No</v>
      </c>
    </row>
    <row r="293" customFormat="false" ht="15" hidden="false" customHeight="true" outlineLevel="0" collapsed="false">
      <c r="A293" s="67" t="s">
        <v>961</v>
      </c>
      <c r="B293" s="67" t="s">
        <v>480</v>
      </c>
      <c r="C293" s="67" t="s">
        <v>459</v>
      </c>
      <c r="D293" s="67" t="s">
        <v>460</v>
      </c>
      <c r="E293" s="67" t="str">
        <f aca="false">IF($A293="","",IFERROR(INDEX('Status map'!$D$6:$D$64,MATCH($C293&amp;" | "&amp;$D293,'Status map'!$I$6:$I$64,0)),"Unmapped"))</f>
        <v>Waiting</v>
      </c>
      <c r="F293" s="67" t="s">
        <v>448</v>
      </c>
      <c r="G293" s="70" t="n">
        <v>46003</v>
      </c>
      <c r="H293" s="70"/>
      <c r="I293" s="70" t="n">
        <v>46265</v>
      </c>
      <c r="J293" s="67" t="s">
        <v>470</v>
      </c>
      <c r="K293" s="67" t="s">
        <v>470</v>
      </c>
      <c r="L293" s="67" t="s">
        <v>451</v>
      </c>
      <c r="M293" s="66" t="n">
        <f aca="false">IF(OR($A293="",$H293&lt;&gt;""),"",Targets!$C$8-$I293)</f>
        <v>0</v>
      </c>
      <c r="N293" s="66" t="str">
        <f aca="false">IF($A293="","",IF(AND($F293="Project",$E293="Active",$M293&lt;&gt;"",$M293&gt;Targets!$C$12),"Yes","No"))</f>
        <v>No</v>
      </c>
      <c r="O293" s="66" t="str">
        <f aca="false">IF($A293="","",IF(AND($G293&gt;=Targets!$C$7,$G293&lt;=Targets!$C$8),"Yes","No"))</f>
        <v>No</v>
      </c>
      <c r="P293" s="66" t="str">
        <f aca="false">IF($A293="","",IF(AND($H293&lt;&gt;"",$H293&gt;=Targets!$C$7,$H293&lt;=Targets!$C$8),"Yes","No"))</f>
        <v>No</v>
      </c>
      <c r="Q293" s="66" t="str">
        <f aca="false">IF($A293="","",IF(AND($F293="Project",$E293&lt;&gt;"Closed",$E293&lt;&gt;"Dormant"),"Yes","No"))</f>
        <v>Yes</v>
      </c>
      <c r="R293" s="66" t="str">
        <f aca="false">IF($A293="","",IF(AND($L293="In-house",OR($E293="Intake",$E293="Active",$E293="Waiting")),"Yes","No"))</f>
        <v>Yes</v>
      </c>
      <c r="S293" s="66" t="str">
        <f aca="false">IF($A293="","",$C293&amp;" | "&amp;$D293)</f>
        <v>Contracts | Out for signature or awaiting the counterparty</v>
      </c>
      <c r="T293" s="66" t="str">
        <f aca="false">IF($A293="","",IF(AND($L293="Outside provider",OR($E293="Intake",$E293="Active",$E293="Waiting")),"Yes","No"))</f>
        <v>No</v>
      </c>
    </row>
    <row r="294" customFormat="false" ht="15" hidden="false" customHeight="true" outlineLevel="0" collapsed="false">
      <c r="A294" s="63" t="s">
        <v>962</v>
      </c>
      <c r="B294" s="63" t="s">
        <v>963</v>
      </c>
      <c r="C294" s="63" t="s">
        <v>465</v>
      </c>
      <c r="D294" s="63" t="s">
        <v>586</v>
      </c>
      <c r="E294" s="63" t="str">
        <f aca="false">IF($A294="","",IFERROR(INDEX('Status map'!$D$6:$D$64,MATCH($C294&amp;" | "&amp;$D294,'Status map'!$I$6:$I$64,0)),"Unmapped"))</f>
        <v>Waiting</v>
      </c>
      <c r="F294" s="63" t="s">
        <v>448</v>
      </c>
      <c r="G294" s="69" t="n">
        <v>46250</v>
      </c>
      <c r="H294" s="69"/>
      <c r="I294" s="69" t="n">
        <v>46263</v>
      </c>
      <c r="J294" s="63" t="s">
        <v>474</v>
      </c>
      <c r="K294" s="63" t="s">
        <v>450</v>
      </c>
      <c r="L294" s="63" t="s">
        <v>451</v>
      </c>
      <c r="M294" s="66" t="n">
        <f aca="false">IF(OR($A294="",$H294&lt;&gt;""),"",Targets!$C$8-$I294)</f>
        <v>2</v>
      </c>
      <c r="N294" s="66" t="str">
        <f aca="false">IF($A294="","",IF(AND($F294="Project",$E294="Active",$M294&lt;&gt;"",$M294&gt;Targets!$C$12),"Yes","No"))</f>
        <v>No</v>
      </c>
      <c r="O294" s="66" t="str">
        <f aca="false">IF($A294="","",IF(AND($G294&gt;=Targets!$C$7,$G294&lt;=Targets!$C$8),"Yes","No"))</f>
        <v>Yes</v>
      </c>
      <c r="P294" s="66" t="str">
        <f aca="false">IF($A294="","",IF(AND($H294&lt;&gt;"",$H294&gt;=Targets!$C$7,$H294&lt;=Targets!$C$8),"Yes","No"))</f>
        <v>No</v>
      </c>
      <c r="Q294" s="66" t="str">
        <f aca="false">IF($A294="","",IF(AND($F294="Project",$E294&lt;&gt;"Closed",$E294&lt;&gt;"Dormant"),"Yes","No"))</f>
        <v>Yes</v>
      </c>
      <c r="R294" s="66" t="str">
        <f aca="false">IF($A294="","",IF(AND($L294="In-house",OR($E294="Intake",$E294="Active",$E294="Waiting")),"Yes","No"))</f>
        <v>Yes</v>
      </c>
      <c r="S294" s="66" t="str">
        <f aca="false">IF($A294="","",$C294&amp;" | "&amp;$D294)</f>
        <v>Immigration and visas | Filed, awaiting a decision or with an evidence request pending</v>
      </c>
      <c r="T294" s="66" t="str">
        <f aca="false">IF($A294="","",IF(AND($L294="Outside provider",OR($E294="Intake",$E294="Active",$E294="Waiting")),"Yes","No"))</f>
        <v>No</v>
      </c>
    </row>
    <row r="295" customFormat="false" ht="15" hidden="false" customHeight="true" outlineLevel="0" collapsed="false">
      <c r="A295" s="67" t="s">
        <v>964</v>
      </c>
      <c r="B295" s="67" t="s">
        <v>965</v>
      </c>
      <c r="C295" s="67" t="s">
        <v>454</v>
      </c>
      <c r="D295" s="67" t="s">
        <v>514</v>
      </c>
      <c r="E295" s="67" t="str">
        <f aca="false">IF($A295="","",IFERROR(INDEX('Status map'!$D$6:$D$64,MATCH($C295&amp;" | "&amp;$D295,'Status map'!$I$6:$I$64,0)),"Unmapped"))</f>
        <v>Active</v>
      </c>
      <c r="F295" s="67" t="s">
        <v>448</v>
      </c>
      <c r="G295" s="70" t="n">
        <v>46157</v>
      </c>
      <c r="H295" s="70"/>
      <c r="I295" s="70" t="n">
        <v>46246</v>
      </c>
      <c r="J295" s="67" t="s">
        <v>461</v>
      </c>
      <c r="K295" s="67" t="s">
        <v>461</v>
      </c>
      <c r="L295" s="67" t="s">
        <v>451</v>
      </c>
      <c r="M295" s="66" t="n">
        <f aca="false">IF(OR($A295="",$H295&lt;&gt;""),"",Targets!$C$8-$I295)</f>
        <v>19</v>
      </c>
      <c r="N295" s="66" t="str">
        <f aca="false">IF($A295="","",IF(AND($F295="Project",$E295="Active",$M295&lt;&gt;"",$M295&gt;Targets!$C$12),"Yes","No"))</f>
        <v>No</v>
      </c>
      <c r="O295" s="66" t="str">
        <f aca="false">IF($A295="","",IF(AND($G295&gt;=Targets!$C$7,$G295&lt;=Targets!$C$8),"Yes","No"))</f>
        <v>No</v>
      </c>
      <c r="P295" s="66" t="str">
        <f aca="false">IF($A295="","",IF(AND($H295&lt;&gt;"",$H295&gt;=Targets!$C$7,$H295&lt;=Targets!$C$8),"Yes","No"))</f>
        <v>No</v>
      </c>
      <c r="Q295" s="66" t="str">
        <f aca="false">IF($A295="","",IF(AND($F295="Project",$E295&lt;&gt;"Closed",$E295&lt;&gt;"Dormant"),"Yes","No"))</f>
        <v>Yes</v>
      </c>
      <c r="R295" s="66" t="str">
        <f aca="false">IF($A295="","",IF(AND($L295="In-house",OR($E295="Intake",$E295="Active",$E295="Waiting")),"Yes","No"))</f>
        <v>Yes</v>
      </c>
      <c r="S295" s="66" t="str">
        <f aca="false">IF($A295="","",$C295&amp;" | "&amp;$D295)</f>
        <v>Litigation | Active discovery, motions, or trial prep</v>
      </c>
      <c r="T295" s="66" t="str">
        <f aca="false">IF($A295="","",IF(AND($L295="Outside provider",OR($E295="Intake",$E295="Active",$E295="Waiting")),"Yes","No"))</f>
        <v>No</v>
      </c>
    </row>
    <row r="296" customFormat="false" ht="15" hidden="false" customHeight="true" outlineLevel="0" collapsed="false">
      <c r="A296" s="63" t="s">
        <v>966</v>
      </c>
      <c r="B296" s="63" t="s">
        <v>967</v>
      </c>
      <c r="C296" s="63" t="s">
        <v>501</v>
      </c>
      <c r="D296" s="63" t="s">
        <v>502</v>
      </c>
      <c r="E296" s="63" t="str">
        <f aca="false">IF($A296="","",IFERROR(INDEX('Status map'!$D$6:$D$64,MATCH($C296&amp;" | "&amp;$D296,'Status map'!$I$6:$I$64,0)),"Unmapped"))</f>
        <v>Closed</v>
      </c>
      <c r="F296" s="63" t="s">
        <v>448</v>
      </c>
      <c r="G296" s="69" t="n">
        <v>46098</v>
      </c>
      <c r="H296" s="69" t="n">
        <v>46247</v>
      </c>
      <c r="I296" s="69" t="n">
        <v>46247</v>
      </c>
      <c r="J296" s="63" t="s">
        <v>470</v>
      </c>
      <c r="K296" s="63" t="s">
        <v>462</v>
      </c>
      <c r="L296" s="63" t="s">
        <v>451</v>
      </c>
      <c r="M296" s="66" t="str">
        <f aca="false">IF(OR($A296="",$H296&lt;&gt;""),"",Targets!$C$8-$I296)</f>
        <v/>
      </c>
      <c r="N296" s="66" t="str">
        <f aca="false">IF($A296="","",IF(AND($F296="Project",$E296="Active",$M296&lt;&gt;"",$M296&gt;Targets!$C$12),"Yes","No"))</f>
        <v>No</v>
      </c>
      <c r="O296" s="66" t="str">
        <f aca="false">IF($A296="","",IF(AND($G296&gt;=Targets!$C$7,$G296&lt;=Targets!$C$8),"Yes","No"))</f>
        <v>No</v>
      </c>
      <c r="P296" s="66" t="str">
        <f aca="false">IF($A296="","",IF(AND($H296&lt;&gt;"",$H296&gt;=Targets!$C$7,$H296&lt;=Targets!$C$8),"Yes","No"))</f>
        <v>Yes</v>
      </c>
      <c r="Q296" s="66" t="str">
        <f aca="false">IF($A296="","",IF(AND($F296="Project",$E296&lt;&gt;"Closed",$E296&lt;&gt;"Dormant"),"Yes","No"))</f>
        <v>No</v>
      </c>
      <c r="R296" s="66" t="str">
        <f aca="false">IF($A296="","",IF(AND($L296="In-house",OR($E296="Intake",$E296="Active",$E296="Waiting")),"Yes","No"))</f>
        <v>No</v>
      </c>
      <c r="S296" s="66" t="str">
        <f aca="false">IF($A296="","",$C296&amp;" | "&amp;$D296)</f>
        <v>M&amp;A and corporate deals | Deal closed</v>
      </c>
      <c r="T296" s="66" t="str">
        <f aca="false">IF($A296="","",IF(AND($L296="Outside provider",OR($E296="Intake",$E296="Active",$E296="Waiting")),"Yes","No"))</f>
        <v>No</v>
      </c>
    </row>
    <row r="297" customFormat="false" ht="15" hidden="false" customHeight="true" outlineLevel="0" collapsed="false">
      <c r="A297" s="67" t="s">
        <v>968</v>
      </c>
      <c r="B297" s="67" t="s">
        <v>969</v>
      </c>
      <c r="C297" s="67" t="s">
        <v>446</v>
      </c>
      <c r="D297" s="67" t="s">
        <v>447</v>
      </c>
      <c r="E297" s="67" t="str">
        <f aca="false">IF($A297="","",IFERROR(INDEX('Status map'!$D$6:$D$64,MATCH($C297&amp;" | "&amp;$D297,'Status map'!$I$6:$I$64,0)),"Unmapped"))</f>
        <v>Intake</v>
      </c>
      <c r="F297" s="67" t="s">
        <v>448</v>
      </c>
      <c r="G297" s="70" t="n">
        <v>46257</v>
      </c>
      <c r="H297" s="70"/>
      <c r="I297" s="70" t="n">
        <v>46256</v>
      </c>
      <c r="J297" s="67" t="s">
        <v>450</v>
      </c>
      <c r="K297" s="67" t="s">
        <v>474</v>
      </c>
      <c r="L297" s="67" t="s">
        <v>451</v>
      </c>
      <c r="M297" s="66" t="n">
        <f aca="false">IF(OR($A297="",$H297&lt;&gt;""),"",Targets!$C$8-$I297)</f>
        <v>9</v>
      </c>
      <c r="N297" s="66" t="str">
        <f aca="false">IF($A297="","",IF(AND($F297="Project",$E297="Active",$M297&lt;&gt;"",$M297&gt;Targets!$C$12),"Yes","No"))</f>
        <v>No</v>
      </c>
      <c r="O297" s="66" t="str">
        <f aca="false">IF($A297="","",IF(AND($G297&gt;=Targets!$C$7,$G297&lt;=Targets!$C$8),"Yes","No"))</f>
        <v>Yes</v>
      </c>
      <c r="P297" s="66" t="str">
        <f aca="false">IF($A297="","",IF(AND($H297&lt;&gt;"",$H297&gt;=Targets!$C$7,$H297&lt;=Targets!$C$8),"Yes","No"))</f>
        <v>No</v>
      </c>
      <c r="Q297" s="66" t="str">
        <f aca="false">IF($A297="","",IF(AND($F297="Project",$E297&lt;&gt;"Closed",$E297&lt;&gt;"Dormant"),"Yes","No"))</f>
        <v>Yes</v>
      </c>
      <c r="R297" s="66" t="str">
        <f aca="false">IF($A297="","",IF(AND($L297="In-house",OR($E297="Intake",$E297="Active",$E297="Waiting")),"Yes","No"))</f>
        <v>Yes</v>
      </c>
      <c r="S297" s="66" t="str">
        <f aca="false">IF($A297="","",$C297&amp;" | "&amp;$D297)</f>
        <v>Employment | Complaint or claim received</v>
      </c>
      <c r="T297" s="66" t="str">
        <f aca="false">IF($A297="","",IF(AND($L297="Outside provider",OR($E297="Intake",$E297="Active",$E297="Waiting")),"Yes","No"))</f>
        <v>No</v>
      </c>
    </row>
    <row r="298" customFormat="false" ht="15" hidden="false" customHeight="true" outlineLevel="0" collapsed="false">
      <c r="A298" s="63" t="s">
        <v>970</v>
      </c>
      <c r="B298" s="63" t="s">
        <v>971</v>
      </c>
      <c r="C298" s="63" t="s">
        <v>446</v>
      </c>
      <c r="D298" s="63" t="s">
        <v>545</v>
      </c>
      <c r="E298" s="63" t="str">
        <f aca="false">IF($A298="","",IFERROR(INDEX('Status map'!$D$6:$D$64,MATCH($C298&amp;" | "&amp;$D298,'Status map'!$I$6:$I$64,0)),"Unmapped"))</f>
        <v>Active</v>
      </c>
      <c r="F298" s="63" t="s">
        <v>448</v>
      </c>
      <c r="G298" s="69" t="n">
        <v>46238</v>
      </c>
      <c r="H298" s="69"/>
      <c r="I298" s="69" t="n">
        <v>46254</v>
      </c>
      <c r="J298" s="63" t="s">
        <v>462</v>
      </c>
      <c r="K298" s="63" t="s">
        <v>462</v>
      </c>
      <c r="L298" s="63" t="s">
        <v>451</v>
      </c>
      <c r="M298" s="66" t="n">
        <f aca="false">IF(OR($A298="",$H298&lt;&gt;""),"",Targets!$C$8-$I298)</f>
        <v>11</v>
      </c>
      <c r="N298" s="66" t="str">
        <f aca="false">IF($A298="","",IF(AND($F298="Project",$E298="Active",$M298&lt;&gt;"",$M298&gt;Targets!$C$12),"Yes","No"))</f>
        <v>No</v>
      </c>
      <c r="O298" s="66" t="str">
        <f aca="false">IF($A298="","",IF(AND($G298&gt;=Targets!$C$7,$G298&lt;=Targets!$C$8),"Yes","No"))</f>
        <v>Yes</v>
      </c>
      <c r="P298" s="66" t="str">
        <f aca="false">IF($A298="","",IF(AND($H298&lt;&gt;"",$H298&gt;=Targets!$C$7,$H298&lt;=Targets!$C$8),"Yes","No"))</f>
        <v>No</v>
      </c>
      <c r="Q298" s="66" t="str">
        <f aca="false">IF($A298="","",IF(AND($F298="Project",$E298&lt;&gt;"Closed",$E298&lt;&gt;"Dormant"),"Yes","No"))</f>
        <v>Yes</v>
      </c>
      <c r="R298" s="66" t="str">
        <f aca="false">IF($A298="","",IF(AND($L298="In-house",OR($E298="Intake",$E298="Active",$E298="Waiting")),"Yes","No"))</f>
        <v>Yes</v>
      </c>
      <c r="S298" s="66" t="str">
        <f aca="false">IF($A298="","",$C298&amp;" | "&amp;$D298)</f>
        <v>Employment | Investigation underway</v>
      </c>
      <c r="T298" s="66" t="str">
        <f aca="false">IF($A298="","",IF(AND($L298="Outside provider",OR($E298="Intake",$E298="Active",$E298="Waiting")),"Yes","No"))</f>
        <v>No</v>
      </c>
    </row>
    <row r="299" customFormat="false" ht="15" hidden="false" customHeight="true" outlineLevel="0" collapsed="false">
      <c r="A299" s="67" t="s">
        <v>972</v>
      </c>
      <c r="B299" s="67" t="s">
        <v>973</v>
      </c>
      <c r="C299" s="67" t="s">
        <v>459</v>
      </c>
      <c r="D299" s="67" t="s">
        <v>491</v>
      </c>
      <c r="E299" s="67" t="str">
        <f aca="false">IF($A299="","",IFERROR(INDEX('Status map'!$D$6:$D$64,MATCH($C299&amp;" | "&amp;$D299,'Status map'!$I$6:$I$64,0)),"Unmapped"))</f>
        <v>Active</v>
      </c>
      <c r="F299" s="67" t="s">
        <v>448</v>
      </c>
      <c r="G299" s="70" t="n">
        <v>46003</v>
      </c>
      <c r="H299" s="70"/>
      <c r="I299" s="70" t="n">
        <v>46217</v>
      </c>
      <c r="J299" s="67" t="s">
        <v>470</v>
      </c>
      <c r="K299" s="67" t="s">
        <v>449</v>
      </c>
      <c r="L299" s="67" t="s">
        <v>451</v>
      </c>
      <c r="M299" s="66" t="n">
        <f aca="false">IF(OR($A299="",$H299&lt;&gt;""),"",Targets!$C$8-$I299)</f>
        <v>48</v>
      </c>
      <c r="N299" s="66" t="str">
        <f aca="false">IF($A299="","",IF(AND($F299="Project",$E299="Active",$M299&lt;&gt;"",$M299&gt;Targets!$C$12),"Yes","No"))</f>
        <v>Yes</v>
      </c>
      <c r="O299" s="66" t="str">
        <f aca="false">IF($A299="","",IF(AND($G299&gt;=Targets!$C$7,$G299&lt;=Targets!$C$8),"Yes","No"))</f>
        <v>No</v>
      </c>
      <c r="P299" s="66" t="str">
        <f aca="false">IF($A299="","",IF(AND($H299&lt;&gt;"",$H299&gt;=Targets!$C$7,$H299&lt;=Targets!$C$8),"Yes","No"))</f>
        <v>No</v>
      </c>
      <c r="Q299" s="66" t="str">
        <f aca="false">IF($A299="","",IF(AND($F299="Project",$E299&lt;&gt;"Closed",$E299&lt;&gt;"Dormant"),"Yes","No"))</f>
        <v>Yes</v>
      </c>
      <c r="R299" s="66" t="str">
        <f aca="false">IF($A299="","",IF(AND($L299="In-house",OR($E299="Intake",$E299="Active",$E299="Waiting")),"Yes","No"))</f>
        <v>Yes</v>
      </c>
      <c r="S299" s="66" t="str">
        <f aca="false">IF($A299="","",$C299&amp;" | "&amp;$D299)</f>
        <v>Contracts | Drafting, review, or negotiation</v>
      </c>
      <c r="T299" s="66" t="str">
        <f aca="false">IF($A299="","",IF(AND($L299="Outside provider",OR($E299="Intake",$E299="Active",$E299="Waiting")),"Yes","No"))</f>
        <v>No</v>
      </c>
    </row>
    <row r="300" customFormat="false" ht="15" hidden="false" customHeight="true" outlineLevel="0" collapsed="false">
      <c r="A300" s="63" t="s">
        <v>974</v>
      </c>
      <c r="B300" s="63" t="s">
        <v>975</v>
      </c>
      <c r="C300" s="63" t="s">
        <v>459</v>
      </c>
      <c r="D300" s="63" t="s">
        <v>481</v>
      </c>
      <c r="E300" s="63" t="str">
        <f aca="false">IF($A300="","",IFERROR(INDEX('Status map'!$D$6:$D$64,MATCH($C300&amp;" | "&amp;$D300,'Status map'!$I$6:$I$64,0)),"Unmapped"))</f>
        <v>Closed</v>
      </c>
      <c r="F300" s="63" t="s">
        <v>448</v>
      </c>
      <c r="G300" s="69" t="n">
        <v>46000</v>
      </c>
      <c r="H300" s="69" t="n">
        <v>46261</v>
      </c>
      <c r="I300" s="69" t="n">
        <v>46261</v>
      </c>
      <c r="J300" s="63" t="s">
        <v>462</v>
      </c>
      <c r="K300" s="63" t="s">
        <v>495</v>
      </c>
      <c r="L300" s="63" t="s">
        <v>496</v>
      </c>
      <c r="M300" s="66" t="str">
        <f aca="false">IF(OR($A300="",$H300&lt;&gt;""),"",Targets!$C$8-$I300)</f>
        <v/>
      </c>
      <c r="N300" s="66" t="str">
        <f aca="false">IF($A300="","",IF(AND($F300="Project",$E300="Active",$M300&lt;&gt;"",$M300&gt;Targets!$C$12),"Yes","No"))</f>
        <v>No</v>
      </c>
      <c r="O300" s="66" t="str">
        <f aca="false">IF($A300="","",IF(AND($G300&gt;=Targets!$C$7,$G300&lt;=Targets!$C$8),"Yes","No"))</f>
        <v>No</v>
      </c>
      <c r="P300" s="66" t="str">
        <f aca="false">IF($A300="","",IF(AND($H300&lt;&gt;"",$H300&gt;=Targets!$C$7,$H300&lt;=Targets!$C$8),"Yes","No"))</f>
        <v>Yes</v>
      </c>
      <c r="Q300" s="66" t="str">
        <f aca="false">IF($A300="","",IF(AND($F300="Project",$E300&lt;&gt;"Closed",$E300&lt;&gt;"Dormant"),"Yes","No"))</f>
        <v>No</v>
      </c>
      <c r="R300" s="66" t="str">
        <f aca="false">IF($A300="","",IF(AND($L300="In-house",OR($E300="Intake",$E300="Active",$E300="Waiting")),"Yes","No"))</f>
        <v>No</v>
      </c>
      <c r="S300" s="66" t="str">
        <f aca="false">IF($A300="","",$C300&amp;" | "&amp;$D300)</f>
        <v>Contracts | Expired or terminated</v>
      </c>
      <c r="T300" s="66" t="str">
        <f aca="false">IF($A300="","",IF(AND($L300="Outside provider",OR($E300="Intake",$E300="Active",$E300="Waiting")),"Yes","No"))</f>
        <v>No</v>
      </c>
    </row>
    <row r="301" customFormat="false" ht="15" hidden="false" customHeight="true" outlineLevel="0" collapsed="false">
      <c r="A301" s="67" t="s">
        <v>976</v>
      </c>
      <c r="B301" s="67" t="s">
        <v>977</v>
      </c>
      <c r="C301" s="67" t="s">
        <v>454</v>
      </c>
      <c r="D301" s="67" t="s">
        <v>657</v>
      </c>
      <c r="E301" s="67" t="str">
        <f aca="false">IF($A301="","",IFERROR(INDEX('Status map'!$D$6:$D$64,MATCH($C301&amp;" | "&amp;$D301,'Status map'!$I$6:$I$64,0)),"Unmapped"))</f>
        <v>Waiting</v>
      </c>
      <c r="F301" s="67" t="s">
        <v>448</v>
      </c>
      <c r="G301" s="70" t="n">
        <v>46254</v>
      </c>
      <c r="H301" s="70"/>
      <c r="I301" s="70" t="n">
        <v>46245</v>
      </c>
      <c r="J301" s="67" t="s">
        <v>492</v>
      </c>
      <c r="K301" s="67" t="s">
        <v>474</v>
      </c>
      <c r="L301" s="67" t="s">
        <v>451</v>
      </c>
      <c r="M301" s="66" t="n">
        <f aca="false">IF(OR($A301="",$H301&lt;&gt;""),"",Targets!$C$8-$I301)</f>
        <v>20</v>
      </c>
      <c r="N301" s="66" t="str">
        <f aca="false">IF($A301="","",IF(AND($F301="Project",$E301="Active",$M301&lt;&gt;"",$M301&gt;Targets!$C$12),"Yes","No"))</f>
        <v>No</v>
      </c>
      <c r="O301" s="66" t="str">
        <f aca="false">IF($A301="","",IF(AND($G301&gt;=Targets!$C$7,$G301&lt;=Targets!$C$8),"Yes","No"))</f>
        <v>Yes</v>
      </c>
      <c r="P301" s="66" t="str">
        <f aca="false">IF($A301="","",IF(AND($H301&lt;&gt;"",$H301&gt;=Targets!$C$7,$H301&lt;=Targets!$C$8),"Yes","No"))</f>
        <v>No</v>
      </c>
      <c r="Q301" s="66" t="str">
        <f aca="false">IF($A301="","",IF(AND($F301="Project",$E301&lt;&gt;"Closed",$E301&lt;&gt;"Dormant"),"Yes","No"))</f>
        <v>Yes</v>
      </c>
      <c r="R301" s="66" t="str">
        <f aca="false">IF($A301="","",IF(AND($L301="In-house",OR($E301="Intake",$E301="Active",$E301="Waiting")),"Yes","No"))</f>
        <v>Yes</v>
      </c>
      <c r="S301" s="66" t="str">
        <f aca="false">IF($A301="","",$C301&amp;" | "&amp;$D301)</f>
        <v>Litigation | Awaiting a ruling, a hearing date, or the other side</v>
      </c>
      <c r="T301" s="66" t="str">
        <f aca="false">IF($A301="","",IF(AND($L301="Outside provider",OR($E301="Intake",$E301="Active",$E301="Waiting")),"Yes","No"))</f>
        <v>No</v>
      </c>
    </row>
    <row r="302" customFormat="false" ht="15" hidden="false" customHeight="true" outlineLevel="0" collapsed="false">
      <c r="A302" s="63" t="s">
        <v>978</v>
      </c>
      <c r="B302" s="63" t="s">
        <v>979</v>
      </c>
      <c r="C302" s="63" t="s">
        <v>647</v>
      </c>
      <c r="D302" s="63" t="s">
        <v>648</v>
      </c>
      <c r="E302" s="63" t="str">
        <f aca="false">IF($A302="","",IFERROR(INDEX('Status map'!$D$6:$D$64,MATCH($C302&amp;" | "&amp;$D302,'Status map'!$I$6:$I$64,0)),"Unmapped"))</f>
        <v>Dormant</v>
      </c>
      <c r="F302" s="63" t="s">
        <v>510</v>
      </c>
      <c r="G302" s="69" t="n">
        <v>44817</v>
      </c>
      <c r="H302" s="69"/>
      <c r="I302" s="69" t="n">
        <v>45977</v>
      </c>
      <c r="J302" s="63" t="s">
        <v>474</v>
      </c>
      <c r="K302" s="63" t="s">
        <v>456</v>
      </c>
      <c r="L302" s="63" t="s">
        <v>451</v>
      </c>
      <c r="M302" s="66" t="n">
        <f aca="false">IF(OR($A302="",$H302&lt;&gt;""),"",Targets!$C$8-$I302)</f>
        <v>288</v>
      </c>
      <c r="N302" s="66" t="str">
        <f aca="false">IF($A302="","",IF(AND($F302="Project",$E302="Active",$M302&lt;&gt;"",$M302&gt;Targets!$C$12),"Yes","No"))</f>
        <v>No</v>
      </c>
      <c r="O302" s="66" t="str">
        <f aca="false">IF($A302="","",IF(AND($G302&gt;=Targets!$C$7,$G302&lt;=Targets!$C$8),"Yes","No"))</f>
        <v>No</v>
      </c>
      <c r="P302" s="66" t="str">
        <f aca="false">IF($A302="","",IF(AND($H302&lt;&gt;"",$H302&gt;=Targets!$C$7,$H302&lt;=Targets!$C$8),"Yes","No"))</f>
        <v>No</v>
      </c>
      <c r="Q302" s="66" t="str">
        <f aca="false">IF($A302="","",IF(AND($F302="Project",$E302&lt;&gt;"Closed",$E302&lt;&gt;"Dormant"),"Yes","No"))</f>
        <v>No</v>
      </c>
      <c r="R302" s="66" t="str">
        <f aca="false">IF($A302="","",IF(AND($L302="In-house",OR($E302="Intake",$E302="Active",$E302="Waiting")),"Yes","No"))</f>
        <v>No</v>
      </c>
      <c r="S302" s="66" t="str">
        <f aca="false">IF($A302="","",$C302&amp;" | "&amp;$D302)</f>
        <v>IP: patents and trademarks | Issued or registered, in maintenance</v>
      </c>
      <c r="T302" s="66" t="str">
        <f aca="false">IF($A302="","",IF(AND($L302="Outside provider",OR($E302="Intake",$E302="Active",$E302="Waiting")),"Yes","No"))</f>
        <v>No</v>
      </c>
    </row>
    <row r="303" customFormat="false" ht="15" hidden="false" customHeight="true" outlineLevel="0" collapsed="false">
      <c r="A303" s="67" t="s">
        <v>980</v>
      </c>
      <c r="B303" s="67" t="s">
        <v>653</v>
      </c>
      <c r="C303" s="67" t="s">
        <v>446</v>
      </c>
      <c r="D303" s="67" t="s">
        <v>545</v>
      </c>
      <c r="E303" s="67" t="str">
        <f aca="false">IF($A303="","",IFERROR(INDEX('Status map'!$D$6:$D$64,MATCH($C303&amp;" | "&amp;$D303,'Status map'!$I$6:$I$64,0)),"Unmapped"))</f>
        <v>Active</v>
      </c>
      <c r="F303" s="67" t="s">
        <v>448</v>
      </c>
      <c r="G303" s="70" t="n">
        <v>45924</v>
      </c>
      <c r="H303" s="70"/>
      <c r="I303" s="70" t="n">
        <v>46255</v>
      </c>
      <c r="J303" s="67" t="s">
        <v>449</v>
      </c>
      <c r="K303" s="67" t="s">
        <v>462</v>
      </c>
      <c r="L303" s="67" t="s">
        <v>451</v>
      </c>
      <c r="M303" s="66" t="n">
        <f aca="false">IF(OR($A303="",$H303&lt;&gt;""),"",Targets!$C$8-$I303)</f>
        <v>10</v>
      </c>
      <c r="N303" s="66" t="str">
        <f aca="false">IF($A303="","",IF(AND($F303="Project",$E303="Active",$M303&lt;&gt;"",$M303&gt;Targets!$C$12),"Yes","No"))</f>
        <v>No</v>
      </c>
      <c r="O303" s="66" t="str">
        <f aca="false">IF($A303="","",IF(AND($G303&gt;=Targets!$C$7,$G303&lt;=Targets!$C$8),"Yes","No"))</f>
        <v>No</v>
      </c>
      <c r="P303" s="66" t="str">
        <f aca="false">IF($A303="","",IF(AND($H303&lt;&gt;"",$H303&gt;=Targets!$C$7,$H303&lt;=Targets!$C$8),"Yes","No"))</f>
        <v>No</v>
      </c>
      <c r="Q303" s="66" t="str">
        <f aca="false">IF($A303="","",IF(AND($F303="Project",$E303&lt;&gt;"Closed",$E303&lt;&gt;"Dormant"),"Yes","No"))</f>
        <v>Yes</v>
      </c>
      <c r="R303" s="66" t="str">
        <f aca="false">IF($A303="","",IF(AND($L303="In-house",OR($E303="Intake",$E303="Active",$E303="Waiting")),"Yes","No"))</f>
        <v>Yes</v>
      </c>
      <c r="S303" s="66" t="str">
        <f aca="false">IF($A303="","",$C303&amp;" | "&amp;$D303)</f>
        <v>Employment | Investigation underway</v>
      </c>
      <c r="T303" s="66" t="str">
        <f aca="false">IF($A303="","",IF(AND($L303="Outside provider",OR($E303="Intake",$E303="Active",$E303="Waiting")),"Yes","No"))</f>
        <v>No</v>
      </c>
    </row>
    <row r="304" customFormat="false" ht="15" hidden="false" customHeight="true" outlineLevel="0" collapsed="false">
      <c r="A304" s="63" t="s">
        <v>981</v>
      </c>
      <c r="B304" s="63" t="s">
        <v>982</v>
      </c>
      <c r="C304" s="63" t="s">
        <v>487</v>
      </c>
      <c r="D304" s="63" t="s">
        <v>601</v>
      </c>
      <c r="E304" s="63" t="str">
        <f aca="false">IF($A304="","",IFERROR(INDEX('Status map'!$D$6:$D$64,MATCH($C304&amp;" | "&amp;$D304,'Status map'!$I$6:$I$64,0)),"Unmapped"))</f>
        <v>Closed</v>
      </c>
      <c r="F304" s="63" t="s">
        <v>482</v>
      </c>
      <c r="G304" s="69" t="n">
        <v>46128</v>
      </c>
      <c r="H304" s="69" t="n">
        <v>46248</v>
      </c>
      <c r="I304" s="69" t="n">
        <v>46248</v>
      </c>
      <c r="J304" s="63" t="s">
        <v>456</v>
      </c>
      <c r="K304" s="63" t="s">
        <v>456</v>
      </c>
      <c r="L304" s="63" t="s">
        <v>451</v>
      </c>
      <c r="M304" s="66" t="str">
        <f aca="false">IF(OR($A304="",$H304&lt;&gt;""),"",Targets!$C$8-$I304)</f>
        <v/>
      </c>
      <c r="N304" s="66" t="str">
        <f aca="false">IF($A304="","",IF(AND($F304="Project",$E304="Active",$M304&lt;&gt;"",$M304&gt;Targets!$C$12),"Yes","No"))</f>
        <v>No</v>
      </c>
      <c r="O304" s="66" t="str">
        <f aca="false">IF($A304="","",IF(AND($G304&gt;=Targets!$C$7,$G304&lt;=Targets!$C$8),"Yes","No"))</f>
        <v>No</v>
      </c>
      <c r="P304" s="66" t="str">
        <f aca="false">IF($A304="","",IF(AND($H304&lt;&gt;"",$H304&gt;=Targets!$C$7,$H304&lt;=Targets!$C$8),"Yes","No"))</f>
        <v>Yes</v>
      </c>
      <c r="Q304" s="66" t="str">
        <f aca="false">IF($A304="","",IF(AND($F304="Project",$E304&lt;&gt;"Closed",$E304&lt;&gt;"Dormant"),"Yes","No"))</f>
        <v>No</v>
      </c>
      <c r="R304" s="66" t="str">
        <f aca="false">IF($A304="","",IF(AND($L304="In-house",OR($E304="Intake",$E304="Active",$E304="Waiting")),"Yes","No"))</f>
        <v>No</v>
      </c>
      <c r="S304" s="66" t="str">
        <f aca="false">IF($A304="","",$C304&amp;" | "&amp;$D304)</f>
        <v>Corporate and entity management | Entity dissolved</v>
      </c>
      <c r="T304" s="66" t="str">
        <f aca="false">IF($A304="","",IF(AND($L304="Outside provider",OR($E304="Intake",$E304="Active",$E304="Waiting")),"Yes","No"))</f>
        <v>No</v>
      </c>
    </row>
    <row r="305" customFormat="false" ht="15" hidden="false" customHeight="true" outlineLevel="0" collapsed="false">
      <c r="A305" s="67" t="s">
        <v>983</v>
      </c>
      <c r="B305" s="67" t="s">
        <v>984</v>
      </c>
      <c r="C305" s="67" t="s">
        <v>647</v>
      </c>
      <c r="D305" s="67" t="s">
        <v>930</v>
      </c>
      <c r="E305" s="67" t="str">
        <f aca="false">IF($A305="","",IFERROR(INDEX('Status map'!$D$6:$D$64,MATCH($C305&amp;" | "&amp;$D305,'Status map'!$I$6:$I$64,0)),"Unmapped"))</f>
        <v>Waiting</v>
      </c>
      <c r="F305" s="67" t="s">
        <v>510</v>
      </c>
      <c r="G305" s="70" t="n">
        <v>45194</v>
      </c>
      <c r="H305" s="70"/>
      <c r="I305" s="70" t="n">
        <v>46231</v>
      </c>
      <c r="J305" s="67" t="s">
        <v>492</v>
      </c>
      <c r="K305" s="67" t="s">
        <v>450</v>
      </c>
      <c r="L305" s="67" t="s">
        <v>451</v>
      </c>
      <c r="M305" s="66" t="n">
        <f aca="false">IF(OR($A305="",$H305&lt;&gt;""),"",Targets!$C$8-$I305)</f>
        <v>34</v>
      </c>
      <c r="N305" s="66" t="str">
        <f aca="false">IF($A305="","",IF(AND($F305="Project",$E305="Active",$M305&lt;&gt;"",$M305&gt;Targets!$C$12),"Yes","No"))</f>
        <v>No</v>
      </c>
      <c r="O305" s="66" t="str">
        <f aca="false">IF($A305="","",IF(AND($G305&gt;=Targets!$C$7,$G305&lt;=Targets!$C$8),"Yes","No"))</f>
        <v>No</v>
      </c>
      <c r="P305" s="66" t="str">
        <f aca="false">IF($A305="","",IF(AND($H305&lt;&gt;"",$H305&gt;=Targets!$C$7,$H305&lt;=Targets!$C$8),"Yes","No"))</f>
        <v>No</v>
      </c>
      <c r="Q305" s="66" t="str">
        <f aca="false">IF($A305="","",IF(AND($F305="Project",$E305&lt;&gt;"Closed",$E305&lt;&gt;"Dormant"),"Yes","No"))</f>
        <v>No</v>
      </c>
      <c r="R305" s="66" t="str">
        <f aca="false">IF($A305="","",IF(AND($L305="In-house",OR($E305="Intake",$E305="Active",$E305="Waiting")),"Yes","No"))</f>
        <v>Yes</v>
      </c>
      <c r="S305" s="66" t="str">
        <f aca="false">IF($A305="","",$C305&amp;" | "&amp;$D305)</f>
        <v>IP: patents and trademarks | Filed, awaiting examination or an office action</v>
      </c>
      <c r="T305" s="66" t="str">
        <f aca="false">IF($A305="","",IF(AND($L305="Outside provider",OR($E305="Intake",$E305="Active",$E305="Waiting")),"Yes","No"))</f>
        <v>No</v>
      </c>
    </row>
    <row r="306" customFormat="false" ht="15" hidden="false" customHeight="true" outlineLevel="0" collapsed="false">
      <c r="A306" s="63" t="s">
        <v>985</v>
      </c>
      <c r="B306" s="63" t="s">
        <v>986</v>
      </c>
      <c r="C306" s="63" t="s">
        <v>465</v>
      </c>
      <c r="D306" s="63" t="s">
        <v>469</v>
      </c>
      <c r="E306" s="63" t="str">
        <f aca="false">IF($A306="","",IFERROR(INDEX('Status map'!$D$6:$D$64,MATCH($C306&amp;" | "&amp;$D306,'Status map'!$I$6:$I$64,0)),"Unmapped"))</f>
        <v>Active</v>
      </c>
      <c r="F306" s="63" t="s">
        <v>448</v>
      </c>
      <c r="G306" s="69" t="n">
        <v>45928</v>
      </c>
      <c r="H306" s="69"/>
      <c r="I306" s="69" t="n">
        <v>46251</v>
      </c>
      <c r="J306" s="63" t="s">
        <v>492</v>
      </c>
      <c r="K306" s="63" t="s">
        <v>462</v>
      </c>
      <c r="L306" s="63" t="s">
        <v>451</v>
      </c>
      <c r="M306" s="66" t="n">
        <f aca="false">IF(OR($A306="",$H306&lt;&gt;""),"",Targets!$C$8-$I306)</f>
        <v>14</v>
      </c>
      <c r="N306" s="66" t="str">
        <f aca="false">IF($A306="","",IF(AND($F306="Project",$E306="Active",$M306&lt;&gt;"",$M306&gt;Targets!$C$12),"Yes","No"))</f>
        <v>No</v>
      </c>
      <c r="O306" s="66" t="str">
        <f aca="false">IF($A306="","",IF(AND($G306&gt;=Targets!$C$7,$G306&lt;=Targets!$C$8),"Yes","No"))</f>
        <v>No</v>
      </c>
      <c r="P306" s="66" t="str">
        <f aca="false">IF($A306="","",IF(AND($H306&lt;&gt;"",$H306&gt;=Targets!$C$7,$H306&lt;=Targets!$C$8),"Yes","No"))</f>
        <v>No</v>
      </c>
      <c r="Q306" s="66" t="str">
        <f aca="false">IF($A306="","",IF(AND($F306="Project",$E306&lt;&gt;"Closed",$E306&lt;&gt;"Dormant"),"Yes","No"))</f>
        <v>Yes</v>
      </c>
      <c r="R306" s="66" t="str">
        <f aca="false">IF($A306="","",IF(AND($L306="In-house",OR($E306="Intake",$E306="Active",$E306="Waiting")),"Yes","No"))</f>
        <v>Yes</v>
      </c>
      <c r="S306" s="66" t="str">
        <f aca="false">IF($A306="","",$C306&amp;" | "&amp;$D306)</f>
        <v>Immigration and visas | Petition or an evidence response being prepared</v>
      </c>
      <c r="T306" s="66" t="str">
        <f aca="false">IF($A306="","",IF(AND($L306="Outside provider",OR($E306="Intake",$E306="Active",$E306="Waiting")),"Yes","No"))</f>
        <v>No</v>
      </c>
    </row>
    <row r="307" customFormat="false" ht="15" hidden="false" customHeight="true" outlineLevel="0" collapsed="false">
      <c r="A307" s="67" t="s">
        <v>987</v>
      </c>
      <c r="B307" s="67" t="s">
        <v>988</v>
      </c>
      <c r="C307" s="67" t="s">
        <v>465</v>
      </c>
      <c r="D307" s="67" t="s">
        <v>466</v>
      </c>
      <c r="E307" s="67" t="str">
        <f aca="false">IF($A307="","",IFERROR(INDEX('Status map'!$D$6:$D$64,MATCH($C307&amp;" | "&amp;$D307,'Status map'!$I$6:$I$64,0)),"Unmapped"))</f>
        <v>Closed</v>
      </c>
      <c r="F307" s="67" t="s">
        <v>448</v>
      </c>
      <c r="G307" s="70" t="n">
        <v>46005</v>
      </c>
      <c r="H307" s="70" t="n">
        <v>46255</v>
      </c>
      <c r="I307" s="70" t="n">
        <v>46255</v>
      </c>
      <c r="J307" s="67" t="s">
        <v>474</v>
      </c>
      <c r="K307" s="67" t="s">
        <v>538</v>
      </c>
      <c r="L307" s="67" t="s">
        <v>496</v>
      </c>
      <c r="M307" s="66" t="str">
        <f aca="false">IF(OR($A307="",$H307&lt;&gt;""),"",Targets!$C$8-$I307)</f>
        <v/>
      </c>
      <c r="N307" s="66" t="str">
        <f aca="false">IF($A307="","",IF(AND($F307="Project",$E307="Active",$M307&lt;&gt;"",$M307&gt;Targets!$C$12),"Yes","No"))</f>
        <v>No</v>
      </c>
      <c r="O307" s="66" t="str">
        <f aca="false">IF($A307="","",IF(AND($G307&gt;=Targets!$C$7,$G307&lt;=Targets!$C$8),"Yes","No"))</f>
        <v>No</v>
      </c>
      <c r="P307" s="66" t="str">
        <f aca="false">IF($A307="","",IF(AND($H307&lt;&gt;"",$H307&gt;=Targets!$C$7,$H307&lt;=Targets!$C$8),"Yes","No"))</f>
        <v>Yes</v>
      </c>
      <c r="Q307" s="66" t="str">
        <f aca="false">IF($A307="","",IF(AND($F307="Project",$E307&lt;&gt;"Closed",$E307&lt;&gt;"Dormant"),"Yes","No"))</f>
        <v>No</v>
      </c>
      <c r="R307" s="66" t="str">
        <f aca="false">IF($A307="","",IF(AND($L307="In-house",OR($E307="Intake",$E307="Active",$E307="Waiting")),"Yes","No"))</f>
        <v>No</v>
      </c>
      <c r="S307" s="66" t="str">
        <f aca="false">IF($A307="","",$C307&amp;" | "&amp;$D307)</f>
        <v>Immigration and visas | Denied or withdrawn</v>
      </c>
      <c r="T307" s="66" t="str">
        <f aca="false">IF($A307="","",IF(AND($L307="Outside provider",OR($E307="Intake",$E307="Active",$E307="Waiting")),"Yes","No"))</f>
        <v>No</v>
      </c>
    </row>
    <row r="308" customFormat="false" ht="15" hidden="false" customHeight="true" outlineLevel="0" collapsed="false">
      <c r="A308" s="63" t="s">
        <v>989</v>
      </c>
      <c r="B308" s="63" t="s">
        <v>990</v>
      </c>
      <c r="C308" s="63" t="s">
        <v>454</v>
      </c>
      <c r="D308" s="63" t="s">
        <v>455</v>
      </c>
      <c r="E308" s="63" t="str">
        <f aca="false">IF($A308="","",IFERROR(INDEX('Status map'!$D$6:$D$64,MATCH($C308&amp;" | "&amp;$D308,'Status map'!$I$6:$I$64,0)),"Unmapped"))</f>
        <v>Closed</v>
      </c>
      <c r="F308" s="63" t="s">
        <v>448</v>
      </c>
      <c r="G308" s="69" t="n">
        <v>45912</v>
      </c>
      <c r="H308" s="69" t="n">
        <v>46037</v>
      </c>
      <c r="I308" s="69" t="n">
        <v>46037</v>
      </c>
      <c r="J308" s="63" t="s">
        <v>474</v>
      </c>
      <c r="K308" s="63" t="s">
        <v>450</v>
      </c>
      <c r="L308" s="63" t="s">
        <v>451</v>
      </c>
      <c r="M308" s="66" t="str">
        <f aca="false">IF(OR($A308="",$H308&lt;&gt;""),"",Targets!$C$8-$I308)</f>
        <v/>
      </c>
      <c r="N308" s="66" t="str">
        <f aca="false">IF($A308="","",IF(AND($F308="Project",$E308="Active",$M308&lt;&gt;"",$M308&gt;Targets!$C$12),"Yes","No"))</f>
        <v>No</v>
      </c>
      <c r="O308" s="66" t="str">
        <f aca="false">IF($A308="","",IF(AND($G308&gt;=Targets!$C$7,$G308&lt;=Targets!$C$8),"Yes","No"))</f>
        <v>No</v>
      </c>
      <c r="P308" s="66" t="str">
        <f aca="false">IF($A308="","",IF(AND($H308&lt;&gt;"",$H308&gt;=Targets!$C$7,$H308&lt;=Targets!$C$8),"Yes","No"))</f>
        <v>No</v>
      </c>
      <c r="Q308" s="66" t="str">
        <f aca="false">IF($A308="","",IF(AND($F308="Project",$E308&lt;&gt;"Closed",$E308&lt;&gt;"Dormant"),"Yes","No"))</f>
        <v>No</v>
      </c>
      <c r="R308" s="66" t="str">
        <f aca="false">IF($A308="","",IF(AND($L308="In-house",OR($E308="Intake",$E308="Active",$E308="Waiting")),"Yes","No"))</f>
        <v>No</v>
      </c>
      <c r="S308" s="66" t="str">
        <f aca="false">IF($A308="","",$C308&amp;" | "&amp;$D308)</f>
        <v>Litigation | Settled, dismissed, or judgment entered</v>
      </c>
      <c r="T308" s="66" t="str">
        <f aca="false">IF($A308="","",IF(AND($L308="Outside provider",OR($E308="Intake",$E308="Active",$E308="Waiting")),"Yes","No"))</f>
        <v>No</v>
      </c>
    </row>
    <row r="309" customFormat="false" ht="15" hidden="false" customHeight="true" outlineLevel="0" collapsed="false">
      <c r="A309" s="67" t="s">
        <v>991</v>
      </c>
      <c r="B309" s="67" t="s">
        <v>630</v>
      </c>
      <c r="C309" s="67" t="s">
        <v>454</v>
      </c>
      <c r="D309" s="67" t="s">
        <v>522</v>
      </c>
      <c r="E309" s="67" t="str">
        <f aca="false">IF($A309="","",IFERROR(INDEX('Status map'!$D$6:$D$64,MATCH($C309&amp;" | "&amp;$D309,'Status map'!$I$6:$I$64,0)),"Unmapped"))</f>
        <v>Waiting</v>
      </c>
      <c r="F309" s="67" t="s">
        <v>448</v>
      </c>
      <c r="G309" s="70" t="n">
        <v>46087</v>
      </c>
      <c r="H309" s="70"/>
      <c r="I309" s="70" t="n">
        <v>46260</v>
      </c>
      <c r="J309" s="67" t="s">
        <v>474</v>
      </c>
      <c r="K309" s="67" t="s">
        <v>470</v>
      </c>
      <c r="L309" s="67" t="s">
        <v>451</v>
      </c>
      <c r="M309" s="66" t="n">
        <f aca="false">IF(OR($A309="",$H309&lt;&gt;""),"",Targets!$C$8-$I309)</f>
        <v>5</v>
      </c>
      <c r="N309" s="66" t="str">
        <f aca="false">IF($A309="","",IF(AND($F309="Project",$E309="Active",$M309&lt;&gt;"",$M309&gt;Targets!$C$12),"Yes","No"))</f>
        <v>No</v>
      </c>
      <c r="O309" s="66" t="str">
        <f aca="false">IF($A309="","",IF(AND($G309&gt;=Targets!$C$7,$G309&lt;=Targets!$C$8),"Yes","No"))</f>
        <v>No</v>
      </c>
      <c r="P309" s="66" t="str">
        <f aca="false">IF($A309="","",IF(AND($H309&lt;&gt;"",$H309&gt;=Targets!$C$7,$H309&lt;=Targets!$C$8),"Yes","No"))</f>
        <v>No</v>
      </c>
      <c r="Q309" s="66" t="str">
        <f aca="false">IF($A309="","",IF(AND($F309="Project",$E309&lt;&gt;"Closed",$E309&lt;&gt;"Dormant"),"Yes","No"))</f>
        <v>Yes</v>
      </c>
      <c r="R309" s="66" t="str">
        <f aca="false">IF($A309="","",IF(AND($L309="In-house",OR($E309="Intake",$E309="Active",$E309="Waiting")),"Yes","No"))</f>
        <v>Yes</v>
      </c>
      <c r="S309" s="66" t="str">
        <f aca="false">IF($A309="","",$C309&amp;" | "&amp;$D309)</f>
        <v>Litigation | Stayed for a short period</v>
      </c>
      <c r="T309" s="66" t="str">
        <f aca="false">IF($A309="","",IF(AND($L309="Outside provider",OR($E309="Intake",$E309="Active",$E309="Waiting")),"Yes","No"))</f>
        <v>No</v>
      </c>
    </row>
    <row r="310" customFormat="false" ht="15" hidden="false" customHeight="true" outlineLevel="0" collapsed="false">
      <c r="A310" s="63" t="s">
        <v>992</v>
      </c>
      <c r="B310" s="63" t="s">
        <v>993</v>
      </c>
      <c r="C310" s="63" t="s">
        <v>501</v>
      </c>
      <c r="D310" s="63" t="s">
        <v>502</v>
      </c>
      <c r="E310" s="63" t="str">
        <f aca="false">IF($A310="","",IFERROR(INDEX('Status map'!$D$6:$D$64,MATCH($C310&amp;" | "&amp;$D310,'Status map'!$I$6:$I$64,0)),"Unmapped"))</f>
        <v>Closed</v>
      </c>
      <c r="F310" s="63" t="s">
        <v>448</v>
      </c>
      <c r="G310" s="69" t="n">
        <v>45966</v>
      </c>
      <c r="H310" s="69" t="n">
        <v>46235</v>
      </c>
      <c r="I310" s="69" t="n">
        <v>46235</v>
      </c>
      <c r="J310" s="63" t="s">
        <v>449</v>
      </c>
      <c r="K310" s="63" t="s">
        <v>449</v>
      </c>
      <c r="L310" s="63" t="s">
        <v>451</v>
      </c>
      <c r="M310" s="66" t="str">
        <f aca="false">IF(OR($A310="",$H310&lt;&gt;""),"",Targets!$C$8-$I310)</f>
        <v/>
      </c>
      <c r="N310" s="66" t="str">
        <f aca="false">IF($A310="","",IF(AND($F310="Project",$E310="Active",$M310&lt;&gt;"",$M310&gt;Targets!$C$12),"Yes","No"))</f>
        <v>No</v>
      </c>
      <c r="O310" s="66" t="str">
        <f aca="false">IF($A310="","",IF(AND($G310&gt;=Targets!$C$7,$G310&lt;=Targets!$C$8),"Yes","No"))</f>
        <v>No</v>
      </c>
      <c r="P310" s="66" t="str">
        <f aca="false">IF($A310="","",IF(AND($H310&lt;&gt;"",$H310&gt;=Targets!$C$7,$H310&lt;=Targets!$C$8),"Yes","No"))</f>
        <v>Yes</v>
      </c>
      <c r="Q310" s="66" t="str">
        <f aca="false">IF($A310="","",IF(AND($F310="Project",$E310&lt;&gt;"Closed",$E310&lt;&gt;"Dormant"),"Yes","No"))</f>
        <v>No</v>
      </c>
      <c r="R310" s="66" t="str">
        <f aca="false">IF($A310="","",IF(AND($L310="In-house",OR($E310="Intake",$E310="Active",$E310="Waiting")),"Yes","No"))</f>
        <v>No</v>
      </c>
      <c r="S310" s="66" t="str">
        <f aca="false">IF($A310="","",$C310&amp;" | "&amp;$D310)</f>
        <v>M&amp;A and corporate deals | Deal closed</v>
      </c>
      <c r="T310" s="66" t="str">
        <f aca="false">IF($A310="","",IF(AND($L310="Outside provider",OR($E310="Intake",$E310="Active",$E310="Waiting")),"Yes","No"))</f>
        <v>No</v>
      </c>
    </row>
    <row r="311" customFormat="false" ht="15" hidden="false" customHeight="true" outlineLevel="0" collapsed="false">
      <c r="A311" s="67" t="s">
        <v>994</v>
      </c>
      <c r="B311" s="67" t="s">
        <v>995</v>
      </c>
      <c r="C311" s="67" t="s">
        <v>501</v>
      </c>
      <c r="D311" s="67" t="s">
        <v>502</v>
      </c>
      <c r="E311" s="67" t="str">
        <f aca="false">IF($A311="","",IFERROR(INDEX('Status map'!$D$6:$D$64,MATCH($C311&amp;" | "&amp;$D311,'Status map'!$I$6:$I$64,0)),"Unmapped"))</f>
        <v>Closed</v>
      </c>
      <c r="F311" s="67" t="s">
        <v>448</v>
      </c>
      <c r="G311" s="70" t="n">
        <v>46238</v>
      </c>
      <c r="H311" s="70" t="n">
        <v>46236</v>
      </c>
      <c r="I311" s="70" t="n">
        <v>46236</v>
      </c>
      <c r="J311" s="67" t="s">
        <v>474</v>
      </c>
      <c r="K311" s="67" t="s">
        <v>492</v>
      </c>
      <c r="L311" s="67" t="s">
        <v>451</v>
      </c>
      <c r="M311" s="66" t="str">
        <f aca="false">IF(OR($A311="",$H311&lt;&gt;""),"",Targets!$C$8-$I311)</f>
        <v/>
      </c>
      <c r="N311" s="66" t="str">
        <f aca="false">IF($A311="","",IF(AND($F311="Project",$E311="Active",$M311&lt;&gt;"",$M311&gt;Targets!$C$12),"Yes","No"))</f>
        <v>No</v>
      </c>
      <c r="O311" s="66" t="str">
        <f aca="false">IF($A311="","",IF(AND($G311&gt;=Targets!$C$7,$G311&lt;=Targets!$C$8),"Yes","No"))</f>
        <v>Yes</v>
      </c>
      <c r="P311" s="66" t="str">
        <f aca="false">IF($A311="","",IF(AND($H311&lt;&gt;"",$H311&gt;=Targets!$C$7,$H311&lt;=Targets!$C$8),"Yes","No"))</f>
        <v>Yes</v>
      </c>
      <c r="Q311" s="66" t="str">
        <f aca="false">IF($A311="","",IF(AND($F311="Project",$E311&lt;&gt;"Closed",$E311&lt;&gt;"Dormant"),"Yes","No"))</f>
        <v>No</v>
      </c>
      <c r="R311" s="66" t="str">
        <f aca="false">IF($A311="","",IF(AND($L311="In-house",OR($E311="Intake",$E311="Active",$E311="Waiting")),"Yes","No"))</f>
        <v>No</v>
      </c>
      <c r="S311" s="66" t="str">
        <f aca="false">IF($A311="","",$C311&amp;" | "&amp;$D311)</f>
        <v>M&amp;A and corporate deals | Deal closed</v>
      </c>
      <c r="T311" s="66" t="str">
        <f aca="false">IF($A311="","",IF(AND($L311="Outside provider",OR($E311="Intake",$E311="Active",$E311="Waiting")),"Yes","No"))</f>
        <v>No</v>
      </c>
    </row>
    <row r="312" customFormat="false" ht="15" hidden="false" customHeight="true" outlineLevel="0" collapsed="false">
      <c r="A312" s="63" t="s">
        <v>996</v>
      </c>
      <c r="B312" s="63" t="s">
        <v>997</v>
      </c>
      <c r="C312" s="63" t="s">
        <v>487</v>
      </c>
      <c r="D312" s="63" t="s">
        <v>601</v>
      </c>
      <c r="E312" s="63" t="str">
        <f aca="false">IF($A312="","",IFERROR(INDEX('Status map'!$D$6:$D$64,MATCH($C312&amp;" | "&amp;$D312,'Status map'!$I$6:$I$64,0)),"Unmapped"))</f>
        <v>Closed</v>
      </c>
      <c r="F312" s="63" t="s">
        <v>482</v>
      </c>
      <c r="G312" s="69" t="n">
        <v>45940</v>
      </c>
      <c r="H312" s="69" t="n">
        <v>46008</v>
      </c>
      <c r="I312" s="69" t="n">
        <v>46008</v>
      </c>
      <c r="J312" s="63" t="s">
        <v>461</v>
      </c>
      <c r="K312" s="63" t="s">
        <v>538</v>
      </c>
      <c r="L312" s="63" t="s">
        <v>496</v>
      </c>
      <c r="M312" s="66" t="str">
        <f aca="false">IF(OR($A312="",$H312&lt;&gt;""),"",Targets!$C$8-$I312)</f>
        <v/>
      </c>
      <c r="N312" s="66" t="str">
        <f aca="false">IF($A312="","",IF(AND($F312="Project",$E312="Active",$M312&lt;&gt;"",$M312&gt;Targets!$C$12),"Yes","No"))</f>
        <v>No</v>
      </c>
      <c r="O312" s="66" t="str">
        <f aca="false">IF($A312="","",IF(AND($G312&gt;=Targets!$C$7,$G312&lt;=Targets!$C$8),"Yes","No"))</f>
        <v>No</v>
      </c>
      <c r="P312" s="66" t="str">
        <f aca="false">IF($A312="","",IF(AND($H312&lt;&gt;"",$H312&gt;=Targets!$C$7,$H312&lt;=Targets!$C$8),"Yes","No"))</f>
        <v>No</v>
      </c>
      <c r="Q312" s="66" t="str">
        <f aca="false">IF($A312="","",IF(AND($F312="Project",$E312&lt;&gt;"Closed",$E312&lt;&gt;"Dormant"),"Yes","No"))</f>
        <v>No</v>
      </c>
      <c r="R312" s="66" t="str">
        <f aca="false">IF($A312="","",IF(AND($L312="In-house",OR($E312="Intake",$E312="Active",$E312="Waiting")),"Yes","No"))</f>
        <v>No</v>
      </c>
      <c r="S312" s="66" t="str">
        <f aca="false">IF($A312="","",$C312&amp;" | "&amp;$D312)</f>
        <v>Corporate and entity management | Entity dissolved</v>
      </c>
      <c r="T312" s="66" t="str">
        <f aca="false">IF($A312="","",IF(AND($L312="Outside provider",OR($E312="Intake",$E312="Active",$E312="Waiting")),"Yes","No"))</f>
        <v>No</v>
      </c>
    </row>
    <row r="313" customFormat="false" ht="15" hidden="false" customHeight="true" outlineLevel="0" collapsed="false">
      <c r="A313" s="67" t="s">
        <v>998</v>
      </c>
      <c r="B313" s="67" t="s">
        <v>959</v>
      </c>
      <c r="C313" s="67" t="s">
        <v>454</v>
      </c>
      <c r="D313" s="67" t="s">
        <v>514</v>
      </c>
      <c r="E313" s="67" t="str">
        <f aca="false">IF($A313="","",IFERROR(INDEX('Status map'!$D$6:$D$64,MATCH($C313&amp;" | "&amp;$D313,'Status map'!$I$6:$I$64,0)),"Unmapped"))</f>
        <v>Active</v>
      </c>
      <c r="F313" s="67" t="s">
        <v>448</v>
      </c>
      <c r="G313" s="70" t="n">
        <v>46208</v>
      </c>
      <c r="H313" s="70"/>
      <c r="I313" s="70" t="n">
        <v>46251</v>
      </c>
      <c r="J313" s="67" t="s">
        <v>492</v>
      </c>
      <c r="K313" s="67" t="s">
        <v>495</v>
      </c>
      <c r="L313" s="67" t="s">
        <v>496</v>
      </c>
      <c r="M313" s="66" t="n">
        <f aca="false">IF(OR($A313="",$H313&lt;&gt;""),"",Targets!$C$8-$I313)</f>
        <v>14</v>
      </c>
      <c r="N313" s="66" t="str">
        <f aca="false">IF($A313="","",IF(AND($F313="Project",$E313="Active",$M313&lt;&gt;"",$M313&gt;Targets!$C$12),"Yes","No"))</f>
        <v>No</v>
      </c>
      <c r="O313" s="66" t="str">
        <f aca="false">IF($A313="","",IF(AND($G313&gt;=Targets!$C$7,$G313&lt;=Targets!$C$8),"Yes","No"))</f>
        <v>No</v>
      </c>
      <c r="P313" s="66" t="str">
        <f aca="false">IF($A313="","",IF(AND($H313&lt;&gt;"",$H313&gt;=Targets!$C$7,$H313&lt;=Targets!$C$8),"Yes","No"))</f>
        <v>No</v>
      </c>
      <c r="Q313" s="66" t="str">
        <f aca="false">IF($A313="","",IF(AND($F313="Project",$E313&lt;&gt;"Closed",$E313&lt;&gt;"Dormant"),"Yes","No"))</f>
        <v>Yes</v>
      </c>
      <c r="R313" s="66" t="str">
        <f aca="false">IF($A313="","",IF(AND($L313="In-house",OR($E313="Intake",$E313="Active",$E313="Waiting")),"Yes","No"))</f>
        <v>No</v>
      </c>
      <c r="S313" s="66" t="str">
        <f aca="false">IF($A313="","",$C313&amp;" | "&amp;$D313)</f>
        <v>Litigation | Active discovery, motions, or trial prep</v>
      </c>
      <c r="T313" s="66" t="str">
        <f aca="false">IF($A313="","",IF(AND($L313="Outside provider",OR($E313="Intake",$E313="Active",$E313="Waiting")),"Yes","No"))</f>
        <v>Yes</v>
      </c>
    </row>
    <row r="314" customFormat="false" ht="15" hidden="false" customHeight="true" outlineLevel="0" collapsed="false">
      <c r="A314" s="63" t="s">
        <v>999</v>
      </c>
      <c r="B314" s="63" t="s">
        <v>609</v>
      </c>
      <c r="C314" s="63" t="s">
        <v>446</v>
      </c>
      <c r="D314" s="63" t="s">
        <v>473</v>
      </c>
      <c r="E314" s="63" t="str">
        <f aca="false">IF($A314="","",IFERROR(INDEX('Status map'!$D$6:$D$64,MATCH($C314&amp;" | "&amp;$D314,'Status map'!$I$6:$I$64,0)),"Unmapped"))</f>
        <v>Closed</v>
      </c>
      <c r="F314" s="63" t="s">
        <v>482</v>
      </c>
      <c r="G314" s="69" t="n">
        <v>46103</v>
      </c>
      <c r="H314" s="69" t="n">
        <v>46218</v>
      </c>
      <c r="I314" s="69" t="n">
        <v>46218</v>
      </c>
      <c r="J314" s="63" t="s">
        <v>470</v>
      </c>
      <c r="K314" s="63" t="s">
        <v>449</v>
      </c>
      <c r="L314" s="63" t="s">
        <v>451</v>
      </c>
      <c r="M314" s="66" t="str">
        <f aca="false">IF(OR($A314="",$H314&lt;&gt;""),"",Targets!$C$8-$I314)</f>
        <v/>
      </c>
      <c r="N314" s="66" t="str">
        <f aca="false">IF($A314="","",IF(AND($F314="Project",$E314="Active",$M314&lt;&gt;"",$M314&gt;Targets!$C$12),"Yes","No"))</f>
        <v>No</v>
      </c>
      <c r="O314" s="66" t="str">
        <f aca="false">IF($A314="","",IF(AND($G314&gt;=Targets!$C$7,$G314&lt;=Targets!$C$8),"Yes","No"))</f>
        <v>No</v>
      </c>
      <c r="P314" s="66" t="str">
        <f aca="false">IF($A314="","",IF(AND($H314&lt;&gt;"",$H314&gt;=Targets!$C$7,$H314&lt;=Targets!$C$8),"Yes","No"))</f>
        <v>No</v>
      </c>
      <c r="Q314" s="66" t="str">
        <f aca="false">IF($A314="","",IF(AND($F314="Project",$E314&lt;&gt;"Closed",$E314&lt;&gt;"Dormant"),"Yes","No"))</f>
        <v>No</v>
      </c>
      <c r="R314" s="66" t="str">
        <f aca="false">IF($A314="","",IF(AND($L314="In-house",OR($E314="Intake",$E314="Active",$E314="Waiting")),"Yes","No"))</f>
        <v>No</v>
      </c>
      <c r="S314" s="66" t="str">
        <f aca="false">IF($A314="","",$C314&amp;" | "&amp;$D314)</f>
        <v>Employment | Resolved or closed</v>
      </c>
      <c r="T314" s="66" t="str">
        <f aca="false">IF($A314="","",IF(AND($L314="Outside provider",OR($E314="Intake",$E314="Active",$E314="Waiting")),"Yes","No"))</f>
        <v>No</v>
      </c>
    </row>
    <row r="315" customFormat="false" ht="15" hidden="false" customHeight="true" outlineLevel="0" collapsed="false">
      <c r="A315" s="67" t="s">
        <v>1000</v>
      </c>
      <c r="B315" s="67" t="s">
        <v>1001</v>
      </c>
      <c r="C315" s="67" t="s">
        <v>465</v>
      </c>
      <c r="D315" s="67" t="s">
        <v>466</v>
      </c>
      <c r="E315" s="67" t="str">
        <f aca="false">IF($A315="","",IFERROR(INDEX('Status map'!$D$6:$D$64,MATCH($C315&amp;" | "&amp;$D315,'Status map'!$I$6:$I$64,0)),"Unmapped"))</f>
        <v>Closed</v>
      </c>
      <c r="F315" s="67" t="s">
        <v>448</v>
      </c>
      <c r="G315" s="70" t="n">
        <v>46245</v>
      </c>
      <c r="H315" s="70" t="n">
        <v>46251</v>
      </c>
      <c r="I315" s="70" t="n">
        <v>46251</v>
      </c>
      <c r="J315" s="67" t="s">
        <v>450</v>
      </c>
      <c r="K315" s="67" t="s">
        <v>474</v>
      </c>
      <c r="L315" s="67" t="s">
        <v>451</v>
      </c>
      <c r="M315" s="66" t="str">
        <f aca="false">IF(OR($A315="",$H315&lt;&gt;""),"",Targets!$C$8-$I315)</f>
        <v/>
      </c>
      <c r="N315" s="66" t="str">
        <f aca="false">IF($A315="","",IF(AND($F315="Project",$E315="Active",$M315&lt;&gt;"",$M315&gt;Targets!$C$12),"Yes","No"))</f>
        <v>No</v>
      </c>
      <c r="O315" s="66" t="str">
        <f aca="false">IF($A315="","",IF(AND($G315&gt;=Targets!$C$7,$G315&lt;=Targets!$C$8),"Yes","No"))</f>
        <v>Yes</v>
      </c>
      <c r="P315" s="66" t="str">
        <f aca="false">IF($A315="","",IF(AND($H315&lt;&gt;"",$H315&gt;=Targets!$C$7,$H315&lt;=Targets!$C$8),"Yes","No"))</f>
        <v>Yes</v>
      </c>
      <c r="Q315" s="66" t="str">
        <f aca="false">IF($A315="","",IF(AND($F315="Project",$E315&lt;&gt;"Closed",$E315&lt;&gt;"Dormant"),"Yes","No"))</f>
        <v>No</v>
      </c>
      <c r="R315" s="66" t="str">
        <f aca="false">IF($A315="","",IF(AND($L315="In-house",OR($E315="Intake",$E315="Active",$E315="Waiting")),"Yes","No"))</f>
        <v>No</v>
      </c>
      <c r="S315" s="66" t="str">
        <f aca="false">IF($A315="","",$C315&amp;" | "&amp;$D315)</f>
        <v>Immigration and visas | Denied or withdrawn</v>
      </c>
      <c r="T315" s="66" t="str">
        <f aca="false">IF($A315="","",IF(AND($L315="Outside provider",OR($E315="Intake",$E315="Active",$E315="Waiting")),"Yes","No"))</f>
        <v>No</v>
      </c>
    </row>
    <row r="316" customFormat="false" ht="15" hidden="false" customHeight="true" outlineLevel="0" collapsed="false">
      <c r="A316" s="63" t="s">
        <v>1002</v>
      </c>
      <c r="B316" s="63" t="s">
        <v>1003</v>
      </c>
      <c r="C316" s="63" t="s">
        <v>459</v>
      </c>
      <c r="D316" s="63" t="s">
        <v>491</v>
      </c>
      <c r="E316" s="63" t="str">
        <f aca="false">IF($A316="","",IFERROR(INDEX('Status map'!$D$6:$D$64,MATCH($C316&amp;" | "&amp;$D316,'Status map'!$I$6:$I$64,0)),"Unmapped"))</f>
        <v>Active</v>
      </c>
      <c r="F316" s="63" t="s">
        <v>448</v>
      </c>
      <c r="G316" s="69" t="n">
        <v>46240</v>
      </c>
      <c r="H316" s="69"/>
      <c r="I316" s="69" t="n">
        <v>46262</v>
      </c>
      <c r="J316" s="63" t="s">
        <v>474</v>
      </c>
      <c r="K316" s="63" t="s">
        <v>450</v>
      </c>
      <c r="L316" s="63" t="s">
        <v>451</v>
      </c>
      <c r="M316" s="66" t="n">
        <f aca="false">IF(OR($A316="",$H316&lt;&gt;""),"",Targets!$C$8-$I316)</f>
        <v>3</v>
      </c>
      <c r="N316" s="66" t="str">
        <f aca="false">IF($A316="","",IF(AND($F316="Project",$E316="Active",$M316&lt;&gt;"",$M316&gt;Targets!$C$12),"Yes","No"))</f>
        <v>No</v>
      </c>
      <c r="O316" s="66" t="str">
        <f aca="false">IF($A316="","",IF(AND($G316&gt;=Targets!$C$7,$G316&lt;=Targets!$C$8),"Yes","No"))</f>
        <v>Yes</v>
      </c>
      <c r="P316" s="66" t="str">
        <f aca="false">IF($A316="","",IF(AND($H316&lt;&gt;"",$H316&gt;=Targets!$C$7,$H316&lt;=Targets!$C$8),"Yes","No"))</f>
        <v>No</v>
      </c>
      <c r="Q316" s="66" t="str">
        <f aca="false">IF($A316="","",IF(AND($F316="Project",$E316&lt;&gt;"Closed",$E316&lt;&gt;"Dormant"),"Yes","No"))</f>
        <v>Yes</v>
      </c>
      <c r="R316" s="66" t="str">
        <f aca="false">IF($A316="","",IF(AND($L316="In-house",OR($E316="Intake",$E316="Active",$E316="Waiting")),"Yes","No"))</f>
        <v>Yes</v>
      </c>
      <c r="S316" s="66" t="str">
        <f aca="false">IF($A316="","",$C316&amp;" | "&amp;$D316)</f>
        <v>Contracts | Drafting, review, or negotiation</v>
      </c>
      <c r="T316" s="66" t="str">
        <f aca="false">IF($A316="","",IF(AND($L316="Outside provider",OR($E316="Intake",$E316="Active",$E316="Waiting")),"Yes","No"))</f>
        <v>No</v>
      </c>
    </row>
    <row r="317" customFormat="false" ht="15" hidden="false" customHeight="true" outlineLevel="0" collapsed="false">
      <c r="A317" s="67" t="s">
        <v>1004</v>
      </c>
      <c r="B317" s="67" t="s">
        <v>678</v>
      </c>
      <c r="C317" s="67" t="s">
        <v>454</v>
      </c>
      <c r="D317" s="67" t="s">
        <v>455</v>
      </c>
      <c r="E317" s="67" t="str">
        <f aca="false">IF($A317="","",IFERROR(INDEX('Status map'!$D$6:$D$64,MATCH($C317&amp;" | "&amp;$D317,'Status map'!$I$6:$I$64,0)),"Unmapped"))</f>
        <v>Closed</v>
      </c>
      <c r="F317" s="67" t="s">
        <v>448</v>
      </c>
      <c r="G317" s="70" t="n">
        <v>46236</v>
      </c>
      <c r="H317" s="70" t="n">
        <v>46243</v>
      </c>
      <c r="I317" s="70" t="n">
        <v>46243</v>
      </c>
      <c r="J317" s="67" t="s">
        <v>450</v>
      </c>
      <c r="K317" s="67" t="s">
        <v>456</v>
      </c>
      <c r="L317" s="67" t="s">
        <v>451</v>
      </c>
      <c r="M317" s="66" t="str">
        <f aca="false">IF(OR($A317="",$H317&lt;&gt;""),"",Targets!$C$8-$I317)</f>
        <v/>
      </c>
      <c r="N317" s="66" t="str">
        <f aca="false">IF($A317="","",IF(AND($F317="Project",$E317="Active",$M317&lt;&gt;"",$M317&gt;Targets!$C$12),"Yes","No"))</f>
        <v>No</v>
      </c>
      <c r="O317" s="66" t="str">
        <f aca="false">IF($A317="","",IF(AND($G317&gt;=Targets!$C$7,$G317&lt;=Targets!$C$8),"Yes","No"))</f>
        <v>Yes</v>
      </c>
      <c r="P317" s="66" t="str">
        <f aca="false">IF($A317="","",IF(AND($H317&lt;&gt;"",$H317&gt;=Targets!$C$7,$H317&lt;=Targets!$C$8),"Yes","No"))</f>
        <v>Yes</v>
      </c>
      <c r="Q317" s="66" t="str">
        <f aca="false">IF($A317="","",IF(AND($F317="Project",$E317&lt;&gt;"Closed",$E317&lt;&gt;"Dormant"),"Yes","No"))</f>
        <v>No</v>
      </c>
      <c r="R317" s="66" t="str">
        <f aca="false">IF($A317="","",IF(AND($L317="In-house",OR($E317="Intake",$E317="Active",$E317="Waiting")),"Yes","No"))</f>
        <v>No</v>
      </c>
      <c r="S317" s="66" t="str">
        <f aca="false">IF($A317="","",$C317&amp;" | "&amp;$D317)</f>
        <v>Litigation | Settled, dismissed, or judgment entered</v>
      </c>
      <c r="T317" s="66" t="str">
        <f aca="false">IF($A317="","",IF(AND($L317="Outside provider",OR($E317="Intake",$E317="Active",$E317="Waiting")),"Yes","No"))</f>
        <v>No</v>
      </c>
    </row>
    <row r="318" customFormat="false" ht="15" hidden="false" customHeight="true" outlineLevel="0" collapsed="false">
      <c r="A318" s="63" t="s">
        <v>1005</v>
      </c>
      <c r="B318" s="63" t="s">
        <v>1006</v>
      </c>
      <c r="C318" s="63" t="s">
        <v>459</v>
      </c>
      <c r="D318" s="63" t="s">
        <v>481</v>
      </c>
      <c r="E318" s="63" t="str">
        <f aca="false">IF($A318="","",IFERROR(INDEX('Status map'!$D$6:$D$64,MATCH($C318&amp;" | "&amp;$D318,'Status map'!$I$6:$I$64,0)),"Unmapped"))</f>
        <v>Closed</v>
      </c>
      <c r="F318" s="63" t="s">
        <v>448</v>
      </c>
      <c r="G318" s="69" t="n">
        <v>46000</v>
      </c>
      <c r="H318" s="69" t="n">
        <v>46238</v>
      </c>
      <c r="I318" s="69" t="n">
        <v>46238</v>
      </c>
      <c r="J318" s="63" t="s">
        <v>456</v>
      </c>
      <c r="K318" s="63" t="s">
        <v>492</v>
      </c>
      <c r="L318" s="63" t="s">
        <v>451</v>
      </c>
      <c r="M318" s="66" t="str">
        <f aca="false">IF(OR($A318="",$H318&lt;&gt;""),"",Targets!$C$8-$I318)</f>
        <v/>
      </c>
      <c r="N318" s="66" t="str">
        <f aca="false">IF($A318="","",IF(AND($F318="Project",$E318="Active",$M318&lt;&gt;"",$M318&gt;Targets!$C$12),"Yes","No"))</f>
        <v>No</v>
      </c>
      <c r="O318" s="66" t="str">
        <f aca="false">IF($A318="","",IF(AND($G318&gt;=Targets!$C$7,$G318&lt;=Targets!$C$8),"Yes","No"))</f>
        <v>No</v>
      </c>
      <c r="P318" s="66" t="str">
        <f aca="false">IF($A318="","",IF(AND($H318&lt;&gt;"",$H318&gt;=Targets!$C$7,$H318&lt;=Targets!$C$8),"Yes","No"))</f>
        <v>Yes</v>
      </c>
      <c r="Q318" s="66" t="str">
        <f aca="false">IF($A318="","",IF(AND($F318="Project",$E318&lt;&gt;"Closed",$E318&lt;&gt;"Dormant"),"Yes","No"))</f>
        <v>No</v>
      </c>
      <c r="R318" s="66" t="str">
        <f aca="false">IF($A318="","",IF(AND($L318="In-house",OR($E318="Intake",$E318="Active",$E318="Waiting")),"Yes","No"))</f>
        <v>No</v>
      </c>
      <c r="S318" s="66" t="str">
        <f aca="false">IF($A318="","",$C318&amp;" | "&amp;$D318)</f>
        <v>Contracts | Expired or terminated</v>
      </c>
      <c r="T318" s="66" t="str">
        <f aca="false">IF($A318="","",IF(AND($L318="Outside provider",OR($E318="Intake",$E318="Active",$E318="Waiting")),"Yes","No"))</f>
        <v>No</v>
      </c>
    </row>
    <row r="319" customFormat="false" ht="15" hidden="false" customHeight="true" outlineLevel="0" collapsed="false">
      <c r="A319" s="67" t="s">
        <v>1007</v>
      </c>
      <c r="B319" s="67" t="s">
        <v>1008</v>
      </c>
      <c r="C319" s="67" t="s">
        <v>459</v>
      </c>
      <c r="D319" s="67" t="s">
        <v>460</v>
      </c>
      <c r="E319" s="67" t="str">
        <f aca="false">IF($A319="","",IFERROR(INDEX('Status map'!$D$6:$D$64,MATCH($C319&amp;" | "&amp;$D319,'Status map'!$I$6:$I$64,0)),"Unmapped"))</f>
        <v>Waiting</v>
      </c>
      <c r="F319" s="67" t="s">
        <v>448</v>
      </c>
      <c r="G319" s="70" t="n">
        <v>46244</v>
      </c>
      <c r="H319" s="70"/>
      <c r="I319" s="70" t="n">
        <v>46248</v>
      </c>
      <c r="J319" s="67" t="s">
        <v>449</v>
      </c>
      <c r="K319" s="67" t="s">
        <v>450</v>
      </c>
      <c r="L319" s="67" t="s">
        <v>451</v>
      </c>
      <c r="M319" s="66" t="n">
        <f aca="false">IF(OR($A319="",$H319&lt;&gt;""),"",Targets!$C$8-$I319)</f>
        <v>17</v>
      </c>
      <c r="N319" s="66" t="str">
        <f aca="false">IF($A319="","",IF(AND($F319="Project",$E319="Active",$M319&lt;&gt;"",$M319&gt;Targets!$C$12),"Yes","No"))</f>
        <v>No</v>
      </c>
      <c r="O319" s="66" t="str">
        <f aca="false">IF($A319="","",IF(AND($G319&gt;=Targets!$C$7,$G319&lt;=Targets!$C$8),"Yes","No"))</f>
        <v>Yes</v>
      </c>
      <c r="P319" s="66" t="str">
        <f aca="false">IF($A319="","",IF(AND($H319&lt;&gt;"",$H319&gt;=Targets!$C$7,$H319&lt;=Targets!$C$8),"Yes","No"))</f>
        <v>No</v>
      </c>
      <c r="Q319" s="66" t="str">
        <f aca="false">IF($A319="","",IF(AND($F319="Project",$E319&lt;&gt;"Closed",$E319&lt;&gt;"Dormant"),"Yes","No"))</f>
        <v>Yes</v>
      </c>
      <c r="R319" s="66" t="str">
        <f aca="false">IF($A319="","",IF(AND($L319="In-house",OR($E319="Intake",$E319="Active",$E319="Waiting")),"Yes","No"))</f>
        <v>Yes</v>
      </c>
      <c r="S319" s="66" t="str">
        <f aca="false">IF($A319="","",$C319&amp;" | "&amp;$D319)</f>
        <v>Contracts | Out for signature or awaiting the counterparty</v>
      </c>
      <c r="T319" s="66" t="str">
        <f aca="false">IF($A319="","",IF(AND($L319="Outside provider",OR($E319="Intake",$E319="Active",$E319="Waiting")),"Yes","No"))</f>
        <v>No</v>
      </c>
    </row>
    <row r="320" customFormat="false" ht="15" hidden="false" customHeight="true" outlineLevel="0" collapsed="false">
      <c r="A320" s="63" t="s">
        <v>1009</v>
      </c>
      <c r="B320" s="63" t="s">
        <v>1010</v>
      </c>
      <c r="C320" s="63" t="s">
        <v>465</v>
      </c>
      <c r="D320" s="63" t="s">
        <v>469</v>
      </c>
      <c r="E320" s="63" t="str">
        <f aca="false">IF($A320="","",IFERROR(INDEX('Status map'!$D$6:$D$64,MATCH($C320&amp;" | "&amp;$D320,'Status map'!$I$6:$I$64,0)),"Unmapped"))</f>
        <v>Active</v>
      </c>
      <c r="F320" s="63" t="s">
        <v>510</v>
      </c>
      <c r="G320" s="69" t="n">
        <v>43994</v>
      </c>
      <c r="H320" s="69"/>
      <c r="I320" s="69" t="n">
        <v>46264</v>
      </c>
      <c r="J320" s="63" t="s">
        <v>450</v>
      </c>
      <c r="K320" s="63" t="s">
        <v>450</v>
      </c>
      <c r="L320" s="63" t="s">
        <v>451</v>
      </c>
      <c r="M320" s="66" t="n">
        <f aca="false">IF(OR($A320="",$H320&lt;&gt;""),"",Targets!$C$8-$I320)</f>
        <v>1</v>
      </c>
      <c r="N320" s="66" t="str">
        <f aca="false">IF($A320="","",IF(AND($F320="Project",$E320="Active",$M320&lt;&gt;"",$M320&gt;Targets!$C$12),"Yes","No"))</f>
        <v>No</v>
      </c>
      <c r="O320" s="66" t="str">
        <f aca="false">IF($A320="","",IF(AND($G320&gt;=Targets!$C$7,$G320&lt;=Targets!$C$8),"Yes","No"))</f>
        <v>No</v>
      </c>
      <c r="P320" s="66" t="str">
        <f aca="false">IF($A320="","",IF(AND($H320&lt;&gt;"",$H320&gt;=Targets!$C$7,$H320&lt;=Targets!$C$8),"Yes","No"))</f>
        <v>No</v>
      </c>
      <c r="Q320" s="66" t="str">
        <f aca="false">IF($A320="","",IF(AND($F320="Project",$E320&lt;&gt;"Closed",$E320&lt;&gt;"Dormant"),"Yes","No"))</f>
        <v>No</v>
      </c>
      <c r="R320" s="66" t="str">
        <f aca="false">IF($A320="","",IF(AND($L320="In-house",OR($E320="Intake",$E320="Active",$E320="Waiting")),"Yes","No"))</f>
        <v>Yes</v>
      </c>
      <c r="S320" s="66" t="str">
        <f aca="false">IF($A320="","",$C320&amp;" | "&amp;$D320)</f>
        <v>Immigration and visas | Petition or an evidence response being prepared</v>
      </c>
      <c r="T320" s="66" t="str">
        <f aca="false">IF($A320="","",IF(AND($L320="Outside provider",OR($E320="Intake",$E320="Active",$E320="Waiting")),"Yes","No"))</f>
        <v>No</v>
      </c>
    </row>
    <row r="321" customFormat="false" ht="15" hidden="false" customHeight="true" outlineLevel="0" collapsed="false">
      <c r="A321" s="67" t="s">
        <v>1011</v>
      </c>
      <c r="B321" s="67" t="s">
        <v>1012</v>
      </c>
      <c r="C321" s="67" t="s">
        <v>454</v>
      </c>
      <c r="D321" s="67" t="s">
        <v>657</v>
      </c>
      <c r="E321" s="67" t="str">
        <f aca="false">IF($A321="","",IFERROR(INDEX('Status map'!$D$6:$D$64,MATCH($C321&amp;" | "&amp;$D321,'Status map'!$I$6:$I$64,0)),"Unmapped"))</f>
        <v>Waiting</v>
      </c>
      <c r="F321" s="67" t="s">
        <v>448</v>
      </c>
      <c r="G321" s="70" t="n">
        <v>45929</v>
      </c>
      <c r="H321" s="70"/>
      <c r="I321" s="70" t="n">
        <v>46246</v>
      </c>
      <c r="J321" s="67" t="s">
        <v>461</v>
      </c>
      <c r="K321" s="67" t="s">
        <v>470</v>
      </c>
      <c r="L321" s="67" t="s">
        <v>451</v>
      </c>
      <c r="M321" s="66" t="n">
        <f aca="false">IF(OR($A321="",$H321&lt;&gt;""),"",Targets!$C$8-$I321)</f>
        <v>19</v>
      </c>
      <c r="N321" s="66" t="str">
        <f aca="false">IF($A321="","",IF(AND($F321="Project",$E321="Active",$M321&lt;&gt;"",$M321&gt;Targets!$C$12),"Yes","No"))</f>
        <v>No</v>
      </c>
      <c r="O321" s="66" t="str">
        <f aca="false">IF($A321="","",IF(AND($G321&gt;=Targets!$C$7,$G321&lt;=Targets!$C$8),"Yes","No"))</f>
        <v>No</v>
      </c>
      <c r="P321" s="66" t="str">
        <f aca="false">IF($A321="","",IF(AND($H321&lt;&gt;"",$H321&gt;=Targets!$C$7,$H321&lt;=Targets!$C$8),"Yes","No"))</f>
        <v>No</v>
      </c>
      <c r="Q321" s="66" t="str">
        <f aca="false">IF($A321="","",IF(AND($F321="Project",$E321&lt;&gt;"Closed",$E321&lt;&gt;"Dormant"),"Yes","No"))</f>
        <v>Yes</v>
      </c>
      <c r="R321" s="66" t="str">
        <f aca="false">IF($A321="","",IF(AND($L321="In-house",OR($E321="Intake",$E321="Active",$E321="Waiting")),"Yes","No"))</f>
        <v>Yes</v>
      </c>
      <c r="S321" s="66" t="str">
        <f aca="false">IF($A321="","",$C321&amp;" | "&amp;$D321)</f>
        <v>Litigation | Awaiting a ruling, a hearing date, or the other side</v>
      </c>
      <c r="T321" s="66" t="str">
        <f aca="false">IF($A321="","",IF(AND($L321="Outside provider",OR($E321="Intake",$E321="Active",$E321="Waiting")),"Yes","No"))</f>
        <v>No</v>
      </c>
    </row>
    <row r="322" customFormat="false" ht="15" hidden="false" customHeight="true" outlineLevel="0" collapsed="false">
      <c r="A322" s="63" t="s">
        <v>1013</v>
      </c>
      <c r="B322" s="63" t="s">
        <v>1014</v>
      </c>
      <c r="C322" s="63" t="s">
        <v>446</v>
      </c>
      <c r="D322" s="63" t="s">
        <v>545</v>
      </c>
      <c r="E322" s="63" t="str">
        <f aca="false">IF($A322="","",IFERROR(INDEX('Status map'!$D$6:$D$64,MATCH($C322&amp;" | "&amp;$D322,'Status map'!$I$6:$I$64,0)),"Unmapped"))</f>
        <v>Active</v>
      </c>
      <c r="F322" s="63" t="s">
        <v>448</v>
      </c>
      <c r="G322" s="69" t="n">
        <v>46244</v>
      </c>
      <c r="H322" s="69"/>
      <c r="I322" s="69" t="n">
        <v>46261</v>
      </c>
      <c r="J322" s="63" t="s">
        <v>450</v>
      </c>
      <c r="K322" s="63" t="s">
        <v>450</v>
      </c>
      <c r="L322" s="63" t="s">
        <v>451</v>
      </c>
      <c r="M322" s="66" t="n">
        <f aca="false">IF(OR($A322="",$H322&lt;&gt;""),"",Targets!$C$8-$I322)</f>
        <v>4</v>
      </c>
      <c r="N322" s="66" t="str">
        <f aca="false">IF($A322="","",IF(AND($F322="Project",$E322="Active",$M322&lt;&gt;"",$M322&gt;Targets!$C$12),"Yes","No"))</f>
        <v>No</v>
      </c>
      <c r="O322" s="66" t="str">
        <f aca="false">IF($A322="","",IF(AND($G322&gt;=Targets!$C$7,$G322&lt;=Targets!$C$8),"Yes","No"))</f>
        <v>Yes</v>
      </c>
      <c r="P322" s="66" t="str">
        <f aca="false">IF($A322="","",IF(AND($H322&lt;&gt;"",$H322&gt;=Targets!$C$7,$H322&lt;=Targets!$C$8),"Yes","No"))</f>
        <v>No</v>
      </c>
      <c r="Q322" s="66" t="str">
        <f aca="false">IF($A322="","",IF(AND($F322="Project",$E322&lt;&gt;"Closed",$E322&lt;&gt;"Dormant"),"Yes","No"))</f>
        <v>Yes</v>
      </c>
      <c r="R322" s="66" t="str">
        <f aca="false">IF($A322="","",IF(AND($L322="In-house",OR($E322="Intake",$E322="Active",$E322="Waiting")),"Yes","No"))</f>
        <v>Yes</v>
      </c>
      <c r="S322" s="66" t="str">
        <f aca="false">IF($A322="","",$C322&amp;" | "&amp;$D322)</f>
        <v>Employment | Investigation underway</v>
      </c>
      <c r="T322" s="66" t="str">
        <f aca="false">IF($A322="","",IF(AND($L322="Outside provider",OR($E322="Intake",$E322="Active",$E322="Waiting")),"Yes","No"))</f>
        <v>No</v>
      </c>
    </row>
    <row r="323" customFormat="false" ht="15" hidden="false" customHeight="true" outlineLevel="0" collapsed="false">
      <c r="A323" s="67" t="s">
        <v>1015</v>
      </c>
      <c r="B323" s="67" t="s">
        <v>1016</v>
      </c>
      <c r="C323" s="67" t="s">
        <v>487</v>
      </c>
      <c r="D323" s="67" t="s">
        <v>601</v>
      </c>
      <c r="E323" s="67" t="str">
        <f aca="false">IF($A323="","",IFERROR(INDEX('Status map'!$D$6:$D$64,MATCH($C323&amp;" | "&amp;$D323,'Status map'!$I$6:$I$64,0)),"Unmapped"))</f>
        <v>Closed</v>
      </c>
      <c r="F323" s="67" t="s">
        <v>482</v>
      </c>
      <c r="G323" s="70" t="n">
        <v>45888</v>
      </c>
      <c r="H323" s="70" t="n">
        <v>45976</v>
      </c>
      <c r="I323" s="70" t="n">
        <v>45976</v>
      </c>
      <c r="J323" s="67" t="s">
        <v>449</v>
      </c>
      <c r="K323" s="67" t="s">
        <v>461</v>
      </c>
      <c r="L323" s="67" t="s">
        <v>451</v>
      </c>
      <c r="M323" s="66" t="str">
        <f aca="false">IF(OR($A323="",$H323&lt;&gt;""),"",Targets!$C$8-$I323)</f>
        <v/>
      </c>
      <c r="N323" s="66" t="str">
        <f aca="false">IF($A323="","",IF(AND($F323="Project",$E323="Active",$M323&lt;&gt;"",$M323&gt;Targets!$C$12),"Yes","No"))</f>
        <v>No</v>
      </c>
      <c r="O323" s="66" t="str">
        <f aca="false">IF($A323="","",IF(AND($G323&gt;=Targets!$C$7,$G323&lt;=Targets!$C$8),"Yes","No"))</f>
        <v>No</v>
      </c>
      <c r="P323" s="66" t="str">
        <f aca="false">IF($A323="","",IF(AND($H323&lt;&gt;"",$H323&gt;=Targets!$C$7,$H323&lt;=Targets!$C$8),"Yes","No"))</f>
        <v>No</v>
      </c>
      <c r="Q323" s="66" t="str">
        <f aca="false">IF($A323="","",IF(AND($F323="Project",$E323&lt;&gt;"Closed",$E323&lt;&gt;"Dormant"),"Yes","No"))</f>
        <v>No</v>
      </c>
      <c r="R323" s="66" t="str">
        <f aca="false">IF($A323="","",IF(AND($L323="In-house",OR($E323="Intake",$E323="Active",$E323="Waiting")),"Yes","No"))</f>
        <v>No</v>
      </c>
      <c r="S323" s="66" t="str">
        <f aca="false">IF($A323="","",$C323&amp;" | "&amp;$D323)</f>
        <v>Corporate and entity management | Entity dissolved</v>
      </c>
      <c r="T323" s="66" t="str">
        <f aca="false">IF($A323="","",IF(AND($L323="Outside provider",OR($E323="Intake",$E323="Active",$E323="Waiting")),"Yes","No"))</f>
        <v>No</v>
      </c>
    </row>
    <row r="324" customFormat="false" ht="15" hidden="false" customHeight="true" outlineLevel="0" collapsed="false">
      <c r="A324" s="63" t="s">
        <v>1017</v>
      </c>
      <c r="B324" s="63" t="s">
        <v>693</v>
      </c>
      <c r="C324" s="63" t="s">
        <v>446</v>
      </c>
      <c r="D324" s="63" t="s">
        <v>473</v>
      </c>
      <c r="E324" s="63" t="str">
        <f aca="false">IF($A324="","",IFERROR(INDEX('Status map'!$D$6:$D$64,MATCH($C324&amp;" | "&amp;$D324,'Status map'!$I$6:$I$64,0)),"Unmapped"))</f>
        <v>Closed</v>
      </c>
      <c r="F324" s="63" t="s">
        <v>482</v>
      </c>
      <c r="G324" s="69" t="n">
        <v>45871</v>
      </c>
      <c r="H324" s="69" t="n">
        <v>45948</v>
      </c>
      <c r="I324" s="69" t="n">
        <v>45948</v>
      </c>
      <c r="J324" s="63" t="s">
        <v>462</v>
      </c>
      <c r="K324" s="63" t="s">
        <v>492</v>
      </c>
      <c r="L324" s="63" t="s">
        <v>451</v>
      </c>
      <c r="M324" s="66" t="str">
        <f aca="false">IF(OR($A324="",$H324&lt;&gt;""),"",Targets!$C$8-$I324)</f>
        <v/>
      </c>
      <c r="N324" s="66" t="str">
        <f aca="false">IF($A324="","",IF(AND($F324="Project",$E324="Active",$M324&lt;&gt;"",$M324&gt;Targets!$C$12),"Yes","No"))</f>
        <v>No</v>
      </c>
      <c r="O324" s="66" t="str">
        <f aca="false">IF($A324="","",IF(AND($G324&gt;=Targets!$C$7,$G324&lt;=Targets!$C$8),"Yes","No"))</f>
        <v>No</v>
      </c>
      <c r="P324" s="66" t="str">
        <f aca="false">IF($A324="","",IF(AND($H324&lt;&gt;"",$H324&gt;=Targets!$C$7,$H324&lt;=Targets!$C$8),"Yes","No"))</f>
        <v>No</v>
      </c>
      <c r="Q324" s="66" t="str">
        <f aca="false">IF($A324="","",IF(AND($F324="Project",$E324&lt;&gt;"Closed",$E324&lt;&gt;"Dormant"),"Yes","No"))</f>
        <v>No</v>
      </c>
      <c r="R324" s="66" t="str">
        <f aca="false">IF($A324="","",IF(AND($L324="In-house",OR($E324="Intake",$E324="Active",$E324="Waiting")),"Yes","No"))</f>
        <v>No</v>
      </c>
      <c r="S324" s="66" t="str">
        <f aca="false">IF($A324="","",$C324&amp;" | "&amp;$D324)</f>
        <v>Employment | Resolved or closed</v>
      </c>
      <c r="T324" s="66" t="str">
        <f aca="false">IF($A324="","",IF(AND($L324="Outside provider",OR($E324="Intake",$E324="Active",$E324="Waiting")),"Yes","No"))</f>
        <v>No</v>
      </c>
    </row>
    <row r="325" customFormat="false" ht="15" hidden="false" customHeight="true" outlineLevel="0" collapsed="false">
      <c r="A325" s="67" t="s">
        <v>1018</v>
      </c>
      <c r="B325" s="67" t="s">
        <v>1019</v>
      </c>
      <c r="C325" s="67" t="s">
        <v>465</v>
      </c>
      <c r="D325" s="67" t="s">
        <v>586</v>
      </c>
      <c r="E325" s="67" t="str">
        <f aca="false">IF($A325="","",IFERROR(INDEX('Status map'!$D$6:$D$64,MATCH($C325&amp;" | "&amp;$D325,'Status map'!$I$6:$I$64,0)),"Unmapped"))</f>
        <v>Waiting</v>
      </c>
      <c r="F325" s="67" t="s">
        <v>448</v>
      </c>
      <c r="G325" s="70" t="n">
        <v>46259</v>
      </c>
      <c r="H325" s="70"/>
      <c r="I325" s="70" t="n">
        <v>46247</v>
      </c>
      <c r="J325" s="67" t="s">
        <v>461</v>
      </c>
      <c r="K325" s="67" t="s">
        <v>492</v>
      </c>
      <c r="L325" s="67" t="s">
        <v>451</v>
      </c>
      <c r="M325" s="66" t="n">
        <f aca="false">IF(OR($A325="",$H325&lt;&gt;""),"",Targets!$C$8-$I325)</f>
        <v>18</v>
      </c>
      <c r="N325" s="66" t="str">
        <f aca="false">IF($A325="","",IF(AND($F325="Project",$E325="Active",$M325&lt;&gt;"",$M325&gt;Targets!$C$12),"Yes","No"))</f>
        <v>No</v>
      </c>
      <c r="O325" s="66" t="str">
        <f aca="false">IF($A325="","",IF(AND($G325&gt;=Targets!$C$7,$G325&lt;=Targets!$C$8),"Yes","No"))</f>
        <v>Yes</v>
      </c>
      <c r="P325" s="66" t="str">
        <f aca="false">IF($A325="","",IF(AND($H325&lt;&gt;"",$H325&gt;=Targets!$C$7,$H325&lt;=Targets!$C$8),"Yes","No"))</f>
        <v>No</v>
      </c>
      <c r="Q325" s="66" t="str">
        <f aca="false">IF($A325="","",IF(AND($F325="Project",$E325&lt;&gt;"Closed",$E325&lt;&gt;"Dormant"),"Yes","No"))</f>
        <v>Yes</v>
      </c>
      <c r="R325" s="66" t="str">
        <f aca="false">IF($A325="","",IF(AND($L325="In-house",OR($E325="Intake",$E325="Active",$E325="Waiting")),"Yes","No"))</f>
        <v>Yes</v>
      </c>
      <c r="S325" s="66" t="str">
        <f aca="false">IF($A325="","",$C325&amp;" | "&amp;$D325)</f>
        <v>Immigration and visas | Filed, awaiting a decision or with an evidence request pending</v>
      </c>
      <c r="T325" s="66" t="str">
        <f aca="false">IF($A325="","",IF(AND($L325="Outside provider",OR($E325="Intake",$E325="Active",$E325="Waiting")),"Yes","No"))</f>
        <v>No</v>
      </c>
    </row>
    <row r="326" customFormat="false" ht="15" hidden="false" customHeight="true" outlineLevel="0" collapsed="false">
      <c r="A326" s="63" t="s">
        <v>1020</v>
      </c>
      <c r="B326" s="63" t="s">
        <v>1021</v>
      </c>
      <c r="C326" s="63" t="s">
        <v>459</v>
      </c>
      <c r="D326" s="63" t="s">
        <v>491</v>
      </c>
      <c r="E326" s="63" t="str">
        <f aca="false">IF($A326="","",IFERROR(INDEX('Status map'!$D$6:$D$64,MATCH($C326&amp;" | "&amp;$D326,'Status map'!$I$6:$I$64,0)),"Unmapped"))</f>
        <v>Active</v>
      </c>
      <c r="F326" s="63" t="s">
        <v>448</v>
      </c>
      <c r="G326" s="69" t="n">
        <v>46243</v>
      </c>
      <c r="H326" s="69"/>
      <c r="I326" s="69" t="n">
        <v>46248</v>
      </c>
      <c r="J326" s="63" t="s">
        <v>492</v>
      </c>
      <c r="K326" s="63" t="s">
        <v>474</v>
      </c>
      <c r="L326" s="63" t="s">
        <v>451</v>
      </c>
      <c r="M326" s="66" t="n">
        <f aca="false">IF(OR($A326="",$H326&lt;&gt;""),"",Targets!$C$8-$I326)</f>
        <v>17</v>
      </c>
      <c r="N326" s="66" t="str">
        <f aca="false">IF($A326="","",IF(AND($F326="Project",$E326="Active",$M326&lt;&gt;"",$M326&gt;Targets!$C$12),"Yes","No"))</f>
        <v>No</v>
      </c>
      <c r="O326" s="66" t="str">
        <f aca="false">IF($A326="","",IF(AND($G326&gt;=Targets!$C$7,$G326&lt;=Targets!$C$8),"Yes","No"))</f>
        <v>Yes</v>
      </c>
      <c r="P326" s="66" t="str">
        <f aca="false">IF($A326="","",IF(AND($H326&lt;&gt;"",$H326&gt;=Targets!$C$7,$H326&lt;=Targets!$C$8),"Yes","No"))</f>
        <v>No</v>
      </c>
      <c r="Q326" s="66" t="str">
        <f aca="false">IF($A326="","",IF(AND($F326="Project",$E326&lt;&gt;"Closed",$E326&lt;&gt;"Dormant"),"Yes","No"))</f>
        <v>Yes</v>
      </c>
      <c r="R326" s="66" t="str">
        <f aca="false">IF($A326="","",IF(AND($L326="In-house",OR($E326="Intake",$E326="Active",$E326="Waiting")),"Yes","No"))</f>
        <v>Yes</v>
      </c>
      <c r="S326" s="66" t="str">
        <f aca="false">IF($A326="","",$C326&amp;" | "&amp;$D326)</f>
        <v>Contracts | Drafting, review, or negotiation</v>
      </c>
      <c r="T326" s="66" t="str">
        <f aca="false">IF($A326="","",IF(AND($L326="Outside provider",OR($E326="Intake",$E326="Active",$E326="Waiting")),"Yes","No"))</f>
        <v>No</v>
      </c>
    </row>
    <row r="327" customFormat="false" ht="15" hidden="false" customHeight="true" outlineLevel="0" collapsed="false">
      <c r="A327" s="67" t="s">
        <v>1022</v>
      </c>
      <c r="B327" s="67" t="s">
        <v>965</v>
      </c>
      <c r="C327" s="67" t="s">
        <v>454</v>
      </c>
      <c r="D327" s="67" t="s">
        <v>514</v>
      </c>
      <c r="E327" s="67" t="str">
        <f aca="false">IF($A327="","",IFERROR(INDEX('Status map'!$D$6:$D$64,MATCH($C327&amp;" | "&amp;$D327,'Status map'!$I$6:$I$64,0)),"Unmapped"))</f>
        <v>Active</v>
      </c>
      <c r="F327" s="67" t="s">
        <v>448</v>
      </c>
      <c r="G327" s="70" t="n">
        <v>46246</v>
      </c>
      <c r="H327" s="70"/>
      <c r="I327" s="70" t="n">
        <v>46258</v>
      </c>
      <c r="J327" s="67" t="s">
        <v>461</v>
      </c>
      <c r="K327" s="67" t="s">
        <v>492</v>
      </c>
      <c r="L327" s="67" t="s">
        <v>451</v>
      </c>
      <c r="M327" s="66" t="n">
        <f aca="false">IF(OR($A327="",$H327&lt;&gt;""),"",Targets!$C$8-$I327)</f>
        <v>7</v>
      </c>
      <c r="N327" s="66" t="str">
        <f aca="false">IF($A327="","",IF(AND($F327="Project",$E327="Active",$M327&lt;&gt;"",$M327&gt;Targets!$C$12),"Yes","No"))</f>
        <v>No</v>
      </c>
      <c r="O327" s="66" t="str">
        <f aca="false">IF($A327="","",IF(AND($G327&gt;=Targets!$C$7,$G327&lt;=Targets!$C$8),"Yes","No"))</f>
        <v>Yes</v>
      </c>
      <c r="P327" s="66" t="str">
        <f aca="false">IF($A327="","",IF(AND($H327&lt;&gt;"",$H327&gt;=Targets!$C$7,$H327&lt;=Targets!$C$8),"Yes","No"))</f>
        <v>No</v>
      </c>
      <c r="Q327" s="66" t="str">
        <f aca="false">IF($A327="","",IF(AND($F327="Project",$E327&lt;&gt;"Closed",$E327&lt;&gt;"Dormant"),"Yes","No"))</f>
        <v>Yes</v>
      </c>
      <c r="R327" s="66" t="str">
        <f aca="false">IF($A327="","",IF(AND($L327="In-house",OR($E327="Intake",$E327="Active",$E327="Waiting")),"Yes","No"))</f>
        <v>Yes</v>
      </c>
      <c r="S327" s="66" t="str">
        <f aca="false">IF($A327="","",$C327&amp;" | "&amp;$D327)</f>
        <v>Litigation | Active discovery, motions, or trial prep</v>
      </c>
      <c r="T327" s="66" t="str">
        <f aca="false">IF($A327="","",IF(AND($L327="Outside provider",OR($E327="Intake",$E327="Active",$E327="Waiting")),"Yes","No"))</f>
        <v>No</v>
      </c>
    </row>
    <row r="328" customFormat="false" ht="15" hidden="false" customHeight="true" outlineLevel="0" collapsed="false">
      <c r="A328" s="63" t="s">
        <v>1023</v>
      </c>
      <c r="B328" s="63" t="s">
        <v>1024</v>
      </c>
      <c r="C328" s="63" t="s">
        <v>465</v>
      </c>
      <c r="D328" s="63" t="s">
        <v>466</v>
      </c>
      <c r="E328" s="63" t="str">
        <f aca="false">IF($A328="","",IFERROR(INDEX('Status map'!$D$6:$D$64,MATCH($C328&amp;" | "&amp;$D328,'Status map'!$I$6:$I$64,0)),"Unmapped"))</f>
        <v>Closed</v>
      </c>
      <c r="F328" s="63" t="s">
        <v>448</v>
      </c>
      <c r="G328" s="69" t="n">
        <v>45900</v>
      </c>
      <c r="H328" s="69" t="n">
        <v>45994</v>
      </c>
      <c r="I328" s="69" t="n">
        <v>45994</v>
      </c>
      <c r="J328" s="63" t="s">
        <v>474</v>
      </c>
      <c r="K328" s="63" t="s">
        <v>450</v>
      </c>
      <c r="L328" s="63" t="s">
        <v>451</v>
      </c>
      <c r="M328" s="66" t="str">
        <f aca="false">IF(OR($A328="",$H328&lt;&gt;""),"",Targets!$C$8-$I328)</f>
        <v/>
      </c>
      <c r="N328" s="66" t="str">
        <f aca="false">IF($A328="","",IF(AND($F328="Project",$E328="Active",$M328&lt;&gt;"",$M328&gt;Targets!$C$12),"Yes","No"))</f>
        <v>No</v>
      </c>
      <c r="O328" s="66" t="str">
        <f aca="false">IF($A328="","",IF(AND($G328&gt;=Targets!$C$7,$G328&lt;=Targets!$C$8),"Yes","No"))</f>
        <v>No</v>
      </c>
      <c r="P328" s="66" t="str">
        <f aca="false">IF($A328="","",IF(AND($H328&lt;&gt;"",$H328&gt;=Targets!$C$7,$H328&lt;=Targets!$C$8),"Yes","No"))</f>
        <v>No</v>
      </c>
      <c r="Q328" s="66" t="str">
        <f aca="false">IF($A328="","",IF(AND($F328="Project",$E328&lt;&gt;"Closed",$E328&lt;&gt;"Dormant"),"Yes","No"))</f>
        <v>No</v>
      </c>
      <c r="R328" s="66" t="str">
        <f aca="false">IF($A328="","",IF(AND($L328="In-house",OR($E328="Intake",$E328="Active",$E328="Waiting")),"Yes","No"))</f>
        <v>No</v>
      </c>
      <c r="S328" s="66" t="str">
        <f aca="false">IF($A328="","",$C328&amp;" | "&amp;$D328)</f>
        <v>Immigration and visas | Denied or withdrawn</v>
      </c>
      <c r="T328" s="66" t="str">
        <f aca="false">IF($A328="","",IF(AND($L328="Outside provider",OR($E328="Intake",$E328="Active",$E328="Waiting")),"Yes","No"))</f>
        <v>No</v>
      </c>
    </row>
    <row r="329" customFormat="false" ht="15" hidden="false" customHeight="true" outlineLevel="0" collapsed="false">
      <c r="A329" s="67" t="s">
        <v>1025</v>
      </c>
      <c r="B329" s="67" t="s">
        <v>1026</v>
      </c>
      <c r="C329" s="67" t="s">
        <v>459</v>
      </c>
      <c r="D329" s="67" t="s">
        <v>478</v>
      </c>
      <c r="E329" s="67" t="str">
        <f aca="false">IF($A329="","",IFERROR(INDEX('Status map'!$D$6:$D$64,MATCH($C329&amp;" | "&amp;$D329,'Status map'!$I$6:$I$64,0)),"Unmapped"))</f>
        <v>Closed</v>
      </c>
      <c r="F329" s="67" t="s">
        <v>448</v>
      </c>
      <c r="G329" s="70" t="n">
        <v>45967</v>
      </c>
      <c r="H329" s="70" t="n">
        <v>46240</v>
      </c>
      <c r="I329" s="70" t="n">
        <v>46240</v>
      </c>
      <c r="J329" s="67" t="s">
        <v>449</v>
      </c>
      <c r="K329" s="67" t="s">
        <v>449</v>
      </c>
      <c r="L329" s="67" t="s">
        <v>451</v>
      </c>
      <c r="M329" s="66" t="str">
        <f aca="false">IF(OR($A329="",$H329&lt;&gt;""),"",Targets!$C$8-$I329)</f>
        <v/>
      </c>
      <c r="N329" s="66" t="str">
        <f aca="false">IF($A329="","",IF(AND($F329="Project",$E329="Active",$M329&lt;&gt;"",$M329&gt;Targets!$C$12),"Yes","No"))</f>
        <v>No</v>
      </c>
      <c r="O329" s="66" t="str">
        <f aca="false">IF($A329="","",IF(AND($G329&gt;=Targets!$C$7,$G329&lt;=Targets!$C$8),"Yes","No"))</f>
        <v>No</v>
      </c>
      <c r="P329" s="66" t="str">
        <f aca="false">IF($A329="","",IF(AND($H329&lt;&gt;"",$H329&gt;=Targets!$C$7,$H329&lt;=Targets!$C$8),"Yes","No"))</f>
        <v>Yes</v>
      </c>
      <c r="Q329" s="66" t="str">
        <f aca="false">IF($A329="","",IF(AND($F329="Project",$E329&lt;&gt;"Closed",$E329&lt;&gt;"Dormant"),"Yes","No"))</f>
        <v>No</v>
      </c>
      <c r="R329" s="66" t="str">
        <f aca="false">IF($A329="","",IF(AND($L329="In-house",OR($E329="Intake",$E329="Active",$E329="Waiting")),"Yes","No"))</f>
        <v>No</v>
      </c>
      <c r="S329" s="66" t="str">
        <f aca="false">IF($A329="","",$C329&amp;" | "&amp;$D329)</f>
        <v>Contracts | Executed</v>
      </c>
      <c r="T329" s="66" t="str">
        <f aca="false">IF($A329="","",IF(AND($L329="Outside provider",OR($E329="Intake",$E329="Active",$E329="Waiting")),"Yes","No"))</f>
        <v>No</v>
      </c>
    </row>
    <row r="330" customFormat="false" ht="15" hidden="false" customHeight="true" outlineLevel="0" collapsed="false">
      <c r="A330" s="63" t="s">
        <v>1027</v>
      </c>
      <c r="B330" s="63" t="s">
        <v>1028</v>
      </c>
      <c r="C330" s="63" t="s">
        <v>459</v>
      </c>
      <c r="D330" s="63" t="s">
        <v>478</v>
      </c>
      <c r="E330" s="63" t="str">
        <f aca="false">IF($A330="","",IFERROR(INDEX('Status map'!$D$6:$D$64,MATCH($C330&amp;" | "&amp;$D330,'Status map'!$I$6:$I$64,0)),"Unmapped"))</f>
        <v>Closed</v>
      </c>
      <c r="F330" s="63" t="s">
        <v>448</v>
      </c>
      <c r="G330" s="69" t="n">
        <v>46134</v>
      </c>
      <c r="H330" s="69" t="n">
        <v>46251</v>
      </c>
      <c r="I330" s="69" t="n">
        <v>46251</v>
      </c>
      <c r="J330" s="63" t="s">
        <v>449</v>
      </c>
      <c r="K330" s="63" t="s">
        <v>456</v>
      </c>
      <c r="L330" s="63" t="s">
        <v>451</v>
      </c>
      <c r="M330" s="66" t="str">
        <f aca="false">IF(OR($A330="",$H330&lt;&gt;""),"",Targets!$C$8-$I330)</f>
        <v/>
      </c>
      <c r="N330" s="66" t="str">
        <f aca="false">IF($A330="","",IF(AND($F330="Project",$E330="Active",$M330&lt;&gt;"",$M330&gt;Targets!$C$12),"Yes","No"))</f>
        <v>No</v>
      </c>
      <c r="O330" s="66" t="str">
        <f aca="false">IF($A330="","",IF(AND($G330&gt;=Targets!$C$7,$G330&lt;=Targets!$C$8),"Yes","No"))</f>
        <v>No</v>
      </c>
      <c r="P330" s="66" t="str">
        <f aca="false">IF($A330="","",IF(AND($H330&lt;&gt;"",$H330&gt;=Targets!$C$7,$H330&lt;=Targets!$C$8),"Yes","No"))</f>
        <v>Yes</v>
      </c>
      <c r="Q330" s="66" t="str">
        <f aca="false">IF($A330="","",IF(AND($F330="Project",$E330&lt;&gt;"Closed",$E330&lt;&gt;"Dormant"),"Yes","No"))</f>
        <v>No</v>
      </c>
      <c r="R330" s="66" t="str">
        <f aca="false">IF($A330="","",IF(AND($L330="In-house",OR($E330="Intake",$E330="Active",$E330="Waiting")),"Yes","No"))</f>
        <v>No</v>
      </c>
      <c r="S330" s="66" t="str">
        <f aca="false">IF($A330="","",$C330&amp;" | "&amp;$D330)</f>
        <v>Contracts | Executed</v>
      </c>
      <c r="T330" s="66" t="str">
        <f aca="false">IF($A330="","",IF(AND($L330="Outside provider",OR($E330="Intake",$E330="Active",$E330="Waiting")),"Yes","No"))</f>
        <v>No</v>
      </c>
    </row>
    <row r="331" customFormat="false" ht="15" hidden="false" customHeight="true" outlineLevel="0" collapsed="false">
      <c r="A331" s="67" t="s">
        <v>1029</v>
      </c>
      <c r="B331" s="67" t="s">
        <v>1030</v>
      </c>
      <c r="C331" s="67" t="s">
        <v>446</v>
      </c>
      <c r="D331" s="67" t="s">
        <v>563</v>
      </c>
      <c r="E331" s="67" t="str">
        <f aca="false">IF($A331="","",IFERROR(INDEX('Status map'!$D$6:$D$64,MATCH($C331&amp;" | "&amp;$D331,'Status map'!$I$6:$I$64,0)),"Unmapped"))</f>
        <v>Waiting</v>
      </c>
      <c r="F331" s="67" t="s">
        <v>448</v>
      </c>
      <c r="G331" s="70" t="n">
        <v>46179</v>
      </c>
      <c r="H331" s="70"/>
      <c r="I331" s="70" t="n">
        <v>46245</v>
      </c>
      <c r="J331" s="67" t="s">
        <v>462</v>
      </c>
      <c r="K331" s="67" t="s">
        <v>449</v>
      </c>
      <c r="L331" s="67" t="s">
        <v>451</v>
      </c>
      <c r="M331" s="66" t="n">
        <f aca="false">IF(OR($A331="",$H331&lt;&gt;""),"",Targets!$C$8-$I331)</f>
        <v>20</v>
      </c>
      <c r="N331" s="66" t="str">
        <f aca="false">IF($A331="","",IF(AND($F331="Project",$E331="Active",$M331&lt;&gt;"",$M331&gt;Targets!$C$12),"Yes","No"))</f>
        <v>No</v>
      </c>
      <c r="O331" s="66" t="str">
        <f aca="false">IF($A331="","",IF(AND($G331&gt;=Targets!$C$7,$G331&lt;=Targets!$C$8),"Yes","No"))</f>
        <v>No</v>
      </c>
      <c r="P331" s="66" t="str">
        <f aca="false">IF($A331="","",IF(AND($H331&lt;&gt;"",$H331&gt;=Targets!$C$7,$H331&lt;=Targets!$C$8),"Yes","No"))</f>
        <v>No</v>
      </c>
      <c r="Q331" s="66" t="str">
        <f aca="false">IF($A331="","",IF(AND($F331="Project",$E331&lt;&gt;"Closed",$E331&lt;&gt;"Dormant"),"Yes","No"))</f>
        <v>Yes</v>
      </c>
      <c r="R331" s="66" t="str">
        <f aca="false">IF($A331="","",IF(AND($L331="In-house",OR($E331="Intake",$E331="Active",$E331="Waiting")),"Yes","No"))</f>
        <v>Yes</v>
      </c>
      <c r="S331" s="66" t="str">
        <f aca="false">IF($A331="","",$C331&amp;" | "&amp;$D331)</f>
        <v>Employment | Awaiting the employee, an agency, or outside counsel</v>
      </c>
      <c r="T331" s="66" t="str">
        <f aca="false">IF($A331="","",IF(AND($L331="Outside provider",OR($E331="Intake",$E331="Active",$E331="Waiting")),"Yes","No"))</f>
        <v>No</v>
      </c>
    </row>
    <row r="332" customFormat="false" ht="15" hidden="false" customHeight="true" outlineLevel="0" collapsed="false">
      <c r="A332" s="63" t="s">
        <v>1031</v>
      </c>
      <c r="B332" s="63" t="s">
        <v>927</v>
      </c>
      <c r="C332" s="63" t="s">
        <v>501</v>
      </c>
      <c r="D332" s="63" t="s">
        <v>683</v>
      </c>
      <c r="E332" s="63" t="str">
        <f aca="false">IF($A332="","",IFERROR(INDEX('Status map'!$D$6:$D$64,MATCH($C332&amp;" | "&amp;$D332,'Status map'!$I$6:$I$64,0)),"Unmapped"))</f>
        <v>Active</v>
      </c>
      <c r="F332" s="63" t="s">
        <v>448</v>
      </c>
      <c r="G332" s="69" t="n">
        <v>46264</v>
      </c>
      <c r="H332" s="69"/>
      <c r="I332" s="69" t="n">
        <v>46186</v>
      </c>
      <c r="J332" s="63" t="s">
        <v>474</v>
      </c>
      <c r="K332" s="63" t="s">
        <v>450</v>
      </c>
      <c r="L332" s="63" t="s">
        <v>451</v>
      </c>
      <c r="M332" s="66" t="n">
        <f aca="false">IF(OR($A332="",$H332&lt;&gt;""),"",Targets!$C$8-$I332)</f>
        <v>79</v>
      </c>
      <c r="N332" s="66" t="str">
        <f aca="false">IF($A332="","",IF(AND($F332="Project",$E332="Active",$M332&lt;&gt;"",$M332&gt;Targets!$C$12),"Yes","No"))</f>
        <v>Yes</v>
      </c>
      <c r="O332" s="66" t="str">
        <f aca="false">IF($A332="","",IF(AND($G332&gt;=Targets!$C$7,$G332&lt;=Targets!$C$8),"Yes","No"))</f>
        <v>Yes</v>
      </c>
      <c r="P332" s="66" t="str">
        <f aca="false">IF($A332="","",IF(AND($H332&lt;&gt;"",$H332&gt;=Targets!$C$7,$H332&lt;=Targets!$C$8),"Yes","No"))</f>
        <v>No</v>
      </c>
      <c r="Q332" s="66" t="str">
        <f aca="false">IF($A332="","",IF(AND($F332="Project",$E332&lt;&gt;"Closed",$E332&lt;&gt;"Dormant"),"Yes","No"))</f>
        <v>Yes</v>
      </c>
      <c r="R332" s="66" t="str">
        <f aca="false">IF($A332="","",IF(AND($L332="In-house",OR($E332="Intake",$E332="Active",$E332="Waiting")),"Yes","No"))</f>
        <v>Yes</v>
      </c>
      <c r="S332" s="66" t="str">
        <f aca="false">IF($A332="","",$C332&amp;" | "&amp;$D332)</f>
        <v>M&amp;A and corporate deals | Due diligence and negotiation underway</v>
      </c>
      <c r="T332" s="66" t="str">
        <f aca="false">IF($A332="","",IF(AND($L332="Outside provider",OR($E332="Intake",$E332="Active",$E332="Waiting")),"Yes","No"))</f>
        <v>No</v>
      </c>
    </row>
    <row r="333" customFormat="false" ht="15" hidden="false" customHeight="true" outlineLevel="0" collapsed="false">
      <c r="A333" s="67" t="s">
        <v>1032</v>
      </c>
      <c r="B333" s="67" t="s">
        <v>1033</v>
      </c>
      <c r="C333" s="67" t="s">
        <v>446</v>
      </c>
      <c r="D333" s="67" t="s">
        <v>563</v>
      </c>
      <c r="E333" s="67" t="str">
        <f aca="false">IF($A333="","",IFERROR(INDEX('Status map'!$D$6:$D$64,MATCH($C333&amp;" | "&amp;$D333,'Status map'!$I$6:$I$64,0)),"Unmapped"))</f>
        <v>Waiting</v>
      </c>
      <c r="F333" s="67" t="s">
        <v>448</v>
      </c>
      <c r="G333" s="70" t="n">
        <v>45984</v>
      </c>
      <c r="H333" s="70"/>
      <c r="I333" s="70" t="n">
        <v>46248</v>
      </c>
      <c r="J333" s="67" t="s">
        <v>492</v>
      </c>
      <c r="K333" s="67" t="s">
        <v>462</v>
      </c>
      <c r="L333" s="67" t="s">
        <v>451</v>
      </c>
      <c r="M333" s="66" t="n">
        <f aca="false">IF(OR($A333="",$H333&lt;&gt;""),"",Targets!$C$8-$I333)</f>
        <v>17</v>
      </c>
      <c r="N333" s="66" t="str">
        <f aca="false">IF($A333="","",IF(AND($F333="Project",$E333="Active",$M333&lt;&gt;"",$M333&gt;Targets!$C$12),"Yes","No"))</f>
        <v>No</v>
      </c>
      <c r="O333" s="66" t="str">
        <f aca="false">IF($A333="","",IF(AND($G333&gt;=Targets!$C$7,$G333&lt;=Targets!$C$8),"Yes","No"))</f>
        <v>No</v>
      </c>
      <c r="P333" s="66" t="str">
        <f aca="false">IF($A333="","",IF(AND($H333&lt;&gt;"",$H333&gt;=Targets!$C$7,$H333&lt;=Targets!$C$8),"Yes","No"))</f>
        <v>No</v>
      </c>
      <c r="Q333" s="66" t="str">
        <f aca="false">IF($A333="","",IF(AND($F333="Project",$E333&lt;&gt;"Closed",$E333&lt;&gt;"Dormant"),"Yes","No"))</f>
        <v>Yes</v>
      </c>
      <c r="R333" s="66" t="str">
        <f aca="false">IF($A333="","",IF(AND($L333="In-house",OR($E333="Intake",$E333="Active",$E333="Waiting")),"Yes","No"))</f>
        <v>Yes</v>
      </c>
      <c r="S333" s="66" t="str">
        <f aca="false">IF($A333="","",$C333&amp;" | "&amp;$D333)</f>
        <v>Employment | Awaiting the employee, an agency, or outside counsel</v>
      </c>
      <c r="T333" s="66" t="str">
        <f aca="false">IF($A333="","",IF(AND($L333="Outside provider",OR($E333="Intake",$E333="Active",$E333="Waiting")),"Yes","No"))</f>
        <v>No</v>
      </c>
    </row>
    <row r="334" customFormat="false" ht="15" hidden="false" customHeight="true" outlineLevel="0" collapsed="false">
      <c r="A334" s="63" t="s">
        <v>1034</v>
      </c>
      <c r="B334" s="63" t="s">
        <v>1035</v>
      </c>
      <c r="C334" s="63" t="s">
        <v>454</v>
      </c>
      <c r="D334" s="63" t="s">
        <v>522</v>
      </c>
      <c r="E334" s="63" t="str">
        <f aca="false">IF($A334="","",IFERROR(INDEX('Status map'!$D$6:$D$64,MATCH($C334&amp;" | "&amp;$D334,'Status map'!$I$6:$I$64,0)),"Unmapped"))</f>
        <v>Waiting</v>
      </c>
      <c r="F334" s="63" t="s">
        <v>448</v>
      </c>
      <c r="G334" s="69" t="n">
        <v>46221</v>
      </c>
      <c r="H334" s="69"/>
      <c r="I334" s="69" t="n">
        <v>46254</v>
      </c>
      <c r="J334" s="63" t="s">
        <v>456</v>
      </c>
      <c r="K334" s="63" t="s">
        <v>470</v>
      </c>
      <c r="L334" s="63" t="s">
        <v>451</v>
      </c>
      <c r="M334" s="66" t="n">
        <f aca="false">IF(OR($A334="",$H334&lt;&gt;""),"",Targets!$C$8-$I334)</f>
        <v>11</v>
      </c>
      <c r="N334" s="66" t="str">
        <f aca="false">IF($A334="","",IF(AND($F334="Project",$E334="Active",$M334&lt;&gt;"",$M334&gt;Targets!$C$12),"Yes","No"))</f>
        <v>No</v>
      </c>
      <c r="O334" s="66" t="str">
        <f aca="false">IF($A334="","",IF(AND($G334&gt;=Targets!$C$7,$G334&lt;=Targets!$C$8),"Yes","No"))</f>
        <v>No</v>
      </c>
      <c r="P334" s="66" t="str">
        <f aca="false">IF($A334="","",IF(AND($H334&lt;&gt;"",$H334&gt;=Targets!$C$7,$H334&lt;=Targets!$C$8),"Yes","No"))</f>
        <v>No</v>
      </c>
      <c r="Q334" s="66" t="str">
        <f aca="false">IF($A334="","",IF(AND($F334="Project",$E334&lt;&gt;"Closed",$E334&lt;&gt;"Dormant"),"Yes","No"))</f>
        <v>Yes</v>
      </c>
      <c r="R334" s="66" t="str">
        <f aca="false">IF($A334="","",IF(AND($L334="In-house",OR($E334="Intake",$E334="Active",$E334="Waiting")),"Yes","No"))</f>
        <v>Yes</v>
      </c>
      <c r="S334" s="66" t="str">
        <f aca="false">IF($A334="","",$C334&amp;" | "&amp;$D334)</f>
        <v>Litigation | Stayed for a short period</v>
      </c>
      <c r="T334" s="66" t="str">
        <f aca="false">IF($A334="","",IF(AND($L334="Outside provider",OR($E334="Intake",$E334="Active",$E334="Waiting")),"Yes","No"))</f>
        <v>No</v>
      </c>
    </row>
    <row r="335" customFormat="false" ht="15" hidden="false" customHeight="true" outlineLevel="0" collapsed="false">
      <c r="A335" s="67" t="s">
        <v>1036</v>
      </c>
      <c r="B335" s="67" t="s">
        <v>1037</v>
      </c>
      <c r="C335" s="67" t="s">
        <v>465</v>
      </c>
      <c r="D335" s="67" t="s">
        <v>469</v>
      </c>
      <c r="E335" s="67" t="str">
        <f aca="false">IF($A335="","",IFERROR(INDEX('Status map'!$D$6:$D$64,MATCH($C335&amp;" | "&amp;$D335,'Status map'!$I$6:$I$64,0)),"Unmapped"))</f>
        <v>Active</v>
      </c>
      <c r="F335" s="67" t="s">
        <v>448</v>
      </c>
      <c r="G335" s="70" t="n">
        <v>46007</v>
      </c>
      <c r="H335" s="70"/>
      <c r="I335" s="70" t="n">
        <v>46246</v>
      </c>
      <c r="J335" s="67" t="s">
        <v>492</v>
      </c>
      <c r="K335" s="67" t="s">
        <v>664</v>
      </c>
      <c r="L335" s="67" t="s">
        <v>496</v>
      </c>
      <c r="M335" s="66" t="n">
        <f aca="false">IF(OR($A335="",$H335&lt;&gt;""),"",Targets!$C$8-$I335)</f>
        <v>19</v>
      </c>
      <c r="N335" s="66" t="str">
        <f aca="false">IF($A335="","",IF(AND($F335="Project",$E335="Active",$M335&lt;&gt;"",$M335&gt;Targets!$C$12),"Yes","No"))</f>
        <v>No</v>
      </c>
      <c r="O335" s="66" t="str">
        <f aca="false">IF($A335="","",IF(AND($G335&gt;=Targets!$C$7,$G335&lt;=Targets!$C$8),"Yes","No"))</f>
        <v>No</v>
      </c>
      <c r="P335" s="66" t="str">
        <f aca="false">IF($A335="","",IF(AND($H335&lt;&gt;"",$H335&gt;=Targets!$C$7,$H335&lt;=Targets!$C$8),"Yes","No"))</f>
        <v>No</v>
      </c>
      <c r="Q335" s="66" t="str">
        <f aca="false">IF($A335="","",IF(AND($F335="Project",$E335&lt;&gt;"Closed",$E335&lt;&gt;"Dormant"),"Yes","No"))</f>
        <v>Yes</v>
      </c>
      <c r="R335" s="66" t="str">
        <f aca="false">IF($A335="","",IF(AND($L335="In-house",OR($E335="Intake",$E335="Active",$E335="Waiting")),"Yes","No"))</f>
        <v>No</v>
      </c>
      <c r="S335" s="66" t="str">
        <f aca="false">IF($A335="","",$C335&amp;" | "&amp;$D335)</f>
        <v>Immigration and visas | Petition or an evidence response being prepared</v>
      </c>
      <c r="T335" s="66" t="str">
        <f aca="false">IF($A335="","",IF(AND($L335="Outside provider",OR($E335="Intake",$E335="Active",$E335="Waiting")),"Yes","No"))</f>
        <v>Yes</v>
      </c>
    </row>
    <row r="336" customFormat="false" ht="15" hidden="false" customHeight="true" outlineLevel="0" collapsed="false">
      <c r="A336" s="63" t="s">
        <v>1038</v>
      </c>
      <c r="B336" s="63" t="s">
        <v>795</v>
      </c>
      <c r="C336" s="63" t="s">
        <v>459</v>
      </c>
      <c r="D336" s="63" t="s">
        <v>478</v>
      </c>
      <c r="E336" s="63" t="str">
        <f aca="false">IF($A336="","",IFERROR(INDEX('Status map'!$D$6:$D$64,MATCH($C336&amp;" | "&amp;$D336,'Status map'!$I$6:$I$64,0)),"Unmapped"))</f>
        <v>Closed</v>
      </c>
      <c r="F336" s="63" t="s">
        <v>448</v>
      </c>
      <c r="G336" s="69" t="n">
        <v>46005</v>
      </c>
      <c r="H336" s="69" t="n">
        <v>46251</v>
      </c>
      <c r="I336" s="69" t="n">
        <v>46251</v>
      </c>
      <c r="J336" s="63" t="s">
        <v>492</v>
      </c>
      <c r="K336" s="63" t="s">
        <v>461</v>
      </c>
      <c r="L336" s="63" t="s">
        <v>451</v>
      </c>
      <c r="M336" s="66" t="str">
        <f aca="false">IF(OR($A336="",$H336&lt;&gt;""),"",Targets!$C$8-$I336)</f>
        <v/>
      </c>
      <c r="N336" s="66" t="str">
        <f aca="false">IF($A336="","",IF(AND($F336="Project",$E336="Active",$M336&lt;&gt;"",$M336&gt;Targets!$C$12),"Yes","No"))</f>
        <v>No</v>
      </c>
      <c r="O336" s="66" t="str">
        <f aca="false">IF($A336="","",IF(AND($G336&gt;=Targets!$C$7,$G336&lt;=Targets!$C$8),"Yes","No"))</f>
        <v>No</v>
      </c>
      <c r="P336" s="66" t="str">
        <f aca="false">IF($A336="","",IF(AND($H336&lt;&gt;"",$H336&gt;=Targets!$C$7,$H336&lt;=Targets!$C$8),"Yes","No"))</f>
        <v>Yes</v>
      </c>
      <c r="Q336" s="66" t="str">
        <f aca="false">IF($A336="","",IF(AND($F336="Project",$E336&lt;&gt;"Closed",$E336&lt;&gt;"Dormant"),"Yes","No"))</f>
        <v>No</v>
      </c>
      <c r="R336" s="66" t="str">
        <f aca="false">IF($A336="","",IF(AND($L336="In-house",OR($E336="Intake",$E336="Active",$E336="Waiting")),"Yes","No"))</f>
        <v>No</v>
      </c>
      <c r="S336" s="66" t="str">
        <f aca="false">IF($A336="","",$C336&amp;" | "&amp;$D336)</f>
        <v>Contracts | Executed</v>
      </c>
      <c r="T336" s="66" t="str">
        <f aca="false">IF($A336="","",IF(AND($L336="Outside provider",OR($E336="Intake",$E336="Active",$E336="Waiting")),"Yes","No"))</f>
        <v>No</v>
      </c>
    </row>
    <row r="337" customFormat="false" ht="15" hidden="false" customHeight="true" outlineLevel="0" collapsed="false">
      <c r="A337" s="67" t="s">
        <v>1039</v>
      </c>
      <c r="B337" s="67" t="s">
        <v>1040</v>
      </c>
      <c r="C337" s="67" t="s">
        <v>487</v>
      </c>
      <c r="D337" s="67" t="s">
        <v>548</v>
      </c>
      <c r="E337" s="67" t="str">
        <f aca="false">IF($A337="","",IFERROR(INDEX('Status map'!$D$6:$D$64,MATCH($C337&amp;" | "&amp;$D337,'Status map'!$I$6:$I$64,0)),"Unmapped"))</f>
        <v>Dormant</v>
      </c>
      <c r="F337" s="67" t="s">
        <v>510</v>
      </c>
      <c r="G337" s="70" t="n">
        <v>44599</v>
      </c>
      <c r="H337" s="70"/>
      <c r="I337" s="70" t="n">
        <v>46078</v>
      </c>
      <c r="J337" s="67" t="s">
        <v>470</v>
      </c>
      <c r="K337" s="67" t="s">
        <v>462</v>
      </c>
      <c r="L337" s="67" t="s">
        <v>451</v>
      </c>
      <c r="M337" s="66" t="n">
        <f aca="false">IF(OR($A337="",$H337&lt;&gt;""),"",Targets!$C$8-$I337)</f>
        <v>187</v>
      </c>
      <c r="N337" s="66" t="str">
        <f aca="false">IF($A337="","",IF(AND($F337="Project",$E337="Active",$M337&lt;&gt;"",$M337&gt;Targets!$C$12),"Yes","No"))</f>
        <v>No</v>
      </c>
      <c r="O337" s="66" t="str">
        <f aca="false">IF($A337="","",IF(AND($G337&gt;=Targets!$C$7,$G337&lt;=Targets!$C$8),"Yes","No"))</f>
        <v>No</v>
      </c>
      <c r="P337" s="66" t="str">
        <f aca="false">IF($A337="","",IF(AND($H337&lt;&gt;"",$H337&gt;=Targets!$C$7,$H337&lt;=Targets!$C$8),"Yes","No"))</f>
        <v>No</v>
      </c>
      <c r="Q337" s="66" t="str">
        <f aca="false">IF($A337="","",IF(AND($F337="Project",$E337&lt;&gt;"Closed",$E337&lt;&gt;"Dormant"),"Yes","No"))</f>
        <v>No</v>
      </c>
      <c r="R337" s="66" t="str">
        <f aca="false">IF($A337="","",IF(AND($L337="In-house",OR($E337="Intake",$E337="Active",$E337="Waiting")),"Yes","No"))</f>
        <v>No</v>
      </c>
      <c r="S337" s="66" t="str">
        <f aca="false">IF($A337="","",$C337&amp;" | "&amp;$D337)</f>
        <v>Corporate and entity management | Entity in good standing</v>
      </c>
      <c r="T337" s="66" t="str">
        <f aca="false">IF($A337="","",IF(AND($L337="Outside provider",OR($E337="Intake",$E337="Active",$E337="Waiting")),"Yes","No"))</f>
        <v>No</v>
      </c>
    </row>
    <row r="338" customFormat="false" ht="15" hidden="false" customHeight="true" outlineLevel="0" collapsed="false">
      <c r="A338" s="63" t="s">
        <v>1041</v>
      </c>
      <c r="B338" s="63" t="s">
        <v>1042</v>
      </c>
      <c r="C338" s="63" t="s">
        <v>487</v>
      </c>
      <c r="D338" s="63" t="s">
        <v>636</v>
      </c>
      <c r="E338" s="63" t="str">
        <f aca="false">IF($A338="","",IFERROR(INDEX('Status map'!$D$6:$D$64,MATCH($C338&amp;" | "&amp;$D338,'Status map'!$I$6:$I$64,0)),"Unmapped"))</f>
        <v>Active</v>
      </c>
      <c r="F338" s="63" t="s">
        <v>482</v>
      </c>
      <c r="G338" s="69" t="n">
        <v>46208</v>
      </c>
      <c r="H338" s="69"/>
      <c r="I338" s="69" t="n">
        <v>46249</v>
      </c>
      <c r="J338" s="63" t="s">
        <v>492</v>
      </c>
      <c r="K338" s="63" t="s">
        <v>456</v>
      </c>
      <c r="L338" s="63" t="s">
        <v>451</v>
      </c>
      <c r="M338" s="66" t="n">
        <f aca="false">IF(OR($A338="",$H338&lt;&gt;""),"",Targets!$C$8-$I338)</f>
        <v>16</v>
      </c>
      <c r="N338" s="66" t="str">
        <f aca="false">IF($A338="","",IF(AND($F338="Project",$E338="Active",$M338&lt;&gt;"",$M338&gt;Targets!$C$12),"Yes","No"))</f>
        <v>No</v>
      </c>
      <c r="O338" s="66" t="str">
        <f aca="false">IF($A338="","",IF(AND($G338&gt;=Targets!$C$7,$G338&lt;=Targets!$C$8),"Yes","No"))</f>
        <v>No</v>
      </c>
      <c r="P338" s="66" t="str">
        <f aca="false">IF($A338="","",IF(AND($H338&lt;&gt;"",$H338&gt;=Targets!$C$7,$H338&lt;=Targets!$C$8),"Yes","No"))</f>
        <v>No</v>
      </c>
      <c r="Q338" s="66" t="str">
        <f aca="false">IF($A338="","",IF(AND($F338="Project",$E338&lt;&gt;"Closed",$E338&lt;&gt;"Dormant"),"Yes","No"))</f>
        <v>No</v>
      </c>
      <c r="R338" s="66" t="str">
        <f aca="false">IF($A338="","",IF(AND($L338="In-house",OR($E338="Intake",$E338="Active",$E338="Waiting")),"Yes","No"))</f>
        <v>Yes</v>
      </c>
      <c r="S338" s="66" t="str">
        <f aca="false">IF($A338="","",$C338&amp;" | "&amp;$D338)</f>
        <v>Corporate and entity management | Formation, change, or dissolution in progress</v>
      </c>
      <c r="T338" s="66" t="str">
        <f aca="false">IF($A338="","",IF(AND($L338="Outside provider",OR($E338="Intake",$E338="Active",$E338="Waiting")),"Yes","No"))</f>
        <v>No</v>
      </c>
    </row>
    <row r="339" customFormat="false" ht="15" hidden="false" customHeight="true" outlineLevel="0" collapsed="false">
      <c r="A339" s="67" t="s">
        <v>1043</v>
      </c>
      <c r="B339" s="67" t="s">
        <v>840</v>
      </c>
      <c r="C339" s="67" t="s">
        <v>501</v>
      </c>
      <c r="D339" s="67" t="s">
        <v>502</v>
      </c>
      <c r="E339" s="67" t="str">
        <f aca="false">IF($A339="","",IFERROR(INDEX('Status map'!$D$6:$D$64,MATCH($C339&amp;" | "&amp;$D339,'Status map'!$I$6:$I$64,0)),"Unmapped"))</f>
        <v>Closed</v>
      </c>
      <c r="F339" s="67" t="s">
        <v>448</v>
      </c>
      <c r="G339" s="70" t="n">
        <v>46081</v>
      </c>
      <c r="H339" s="70" t="n">
        <v>46260</v>
      </c>
      <c r="I339" s="70" t="n">
        <v>46260</v>
      </c>
      <c r="J339" s="67" t="s">
        <v>470</v>
      </c>
      <c r="K339" s="67" t="s">
        <v>492</v>
      </c>
      <c r="L339" s="67" t="s">
        <v>451</v>
      </c>
      <c r="M339" s="66" t="str">
        <f aca="false">IF(OR($A339="",$H339&lt;&gt;""),"",Targets!$C$8-$I339)</f>
        <v/>
      </c>
      <c r="N339" s="66" t="str">
        <f aca="false">IF($A339="","",IF(AND($F339="Project",$E339="Active",$M339&lt;&gt;"",$M339&gt;Targets!$C$12),"Yes","No"))</f>
        <v>No</v>
      </c>
      <c r="O339" s="66" t="str">
        <f aca="false">IF($A339="","",IF(AND($G339&gt;=Targets!$C$7,$G339&lt;=Targets!$C$8),"Yes","No"))</f>
        <v>No</v>
      </c>
      <c r="P339" s="66" t="str">
        <f aca="false">IF($A339="","",IF(AND($H339&lt;&gt;"",$H339&gt;=Targets!$C$7,$H339&lt;=Targets!$C$8),"Yes","No"))</f>
        <v>Yes</v>
      </c>
      <c r="Q339" s="66" t="str">
        <f aca="false">IF($A339="","",IF(AND($F339="Project",$E339&lt;&gt;"Closed",$E339&lt;&gt;"Dormant"),"Yes","No"))</f>
        <v>No</v>
      </c>
      <c r="R339" s="66" t="str">
        <f aca="false">IF($A339="","",IF(AND($L339="In-house",OR($E339="Intake",$E339="Active",$E339="Waiting")),"Yes","No"))</f>
        <v>No</v>
      </c>
      <c r="S339" s="66" t="str">
        <f aca="false">IF($A339="","",$C339&amp;" | "&amp;$D339)</f>
        <v>M&amp;A and corporate deals | Deal closed</v>
      </c>
      <c r="T339" s="66" t="str">
        <f aca="false">IF($A339="","",IF(AND($L339="Outside provider",OR($E339="Intake",$E339="Active",$E339="Waiting")),"Yes","No"))</f>
        <v>No</v>
      </c>
    </row>
    <row r="340" customFormat="false" ht="15" hidden="false" customHeight="true" outlineLevel="0" collapsed="false">
      <c r="A340" s="63" t="s">
        <v>1044</v>
      </c>
      <c r="B340" s="63" t="s">
        <v>566</v>
      </c>
      <c r="C340" s="63" t="s">
        <v>446</v>
      </c>
      <c r="D340" s="63" t="s">
        <v>473</v>
      </c>
      <c r="E340" s="63" t="str">
        <f aca="false">IF($A340="","",IFERROR(INDEX('Status map'!$D$6:$D$64,MATCH($C340&amp;" | "&amp;$D340,'Status map'!$I$6:$I$64,0)),"Unmapped"))</f>
        <v>Closed</v>
      </c>
      <c r="F340" s="63" t="s">
        <v>448</v>
      </c>
      <c r="G340" s="69" t="n">
        <v>46235</v>
      </c>
      <c r="H340" s="69" t="n">
        <v>46237</v>
      </c>
      <c r="I340" s="69" t="n">
        <v>46237</v>
      </c>
      <c r="J340" s="63" t="s">
        <v>470</v>
      </c>
      <c r="K340" s="63" t="s">
        <v>474</v>
      </c>
      <c r="L340" s="63" t="s">
        <v>451</v>
      </c>
      <c r="M340" s="66" t="str">
        <f aca="false">IF(OR($A340="",$H340&lt;&gt;""),"",Targets!$C$8-$I340)</f>
        <v/>
      </c>
      <c r="N340" s="66" t="str">
        <f aca="false">IF($A340="","",IF(AND($F340="Project",$E340="Active",$M340&lt;&gt;"",$M340&gt;Targets!$C$12),"Yes","No"))</f>
        <v>No</v>
      </c>
      <c r="O340" s="66" t="str">
        <f aca="false">IF($A340="","",IF(AND($G340&gt;=Targets!$C$7,$G340&lt;=Targets!$C$8),"Yes","No"))</f>
        <v>Yes</v>
      </c>
      <c r="P340" s="66" t="str">
        <f aca="false">IF($A340="","",IF(AND($H340&lt;&gt;"",$H340&gt;=Targets!$C$7,$H340&lt;=Targets!$C$8),"Yes","No"))</f>
        <v>Yes</v>
      </c>
      <c r="Q340" s="66" t="str">
        <f aca="false">IF($A340="","",IF(AND($F340="Project",$E340&lt;&gt;"Closed",$E340&lt;&gt;"Dormant"),"Yes","No"))</f>
        <v>No</v>
      </c>
      <c r="R340" s="66" t="str">
        <f aca="false">IF($A340="","",IF(AND($L340="In-house",OR($E340="Intake",$E340="Active",$E340="Waiting")),"Yes","No"))</f>
        <v>No</v>
      </c>
      <c r="S340" s="66" t="str">
        <f aca="false">IF($A340="","",$C340&amp;" | "&amp;$D340)</f>
        <v>Employment | Resolved or closed</v>
      </c>
      <c r="T340" s="66" t="str">
        <f aca="false">IF($A340="","",IF(AND($L340="Outside provider",OR($E340="Intake",$E340="Active",$E340="Waiting")),"Yes","No"))</f>
        <v>No</v>
      </c>
    </row>
    <row r="341" customFormat="false" ht="15" hidden="false" customHeight="true" outlineLevel="0" collapsed="false">
      <c r="A341" s="67" t="s">
        <v>1045</v>
      </c>
      <c r="B341" s="67" t="s">
        <v>1046</v>
      </c>
      <c r="C341" s="67" t="s">
        <v>465</v>
      </c>
      <c r="D341" s="67" t="s">
        <v>509</v>
      </c>
      <c r="E341" s="67" t="str">
        <f aca="false">IF($A341="","",IFERROR(INDEX('Status map'!$D$6:$D$64,MATCH($C341&amp;" | "&amp;$D341,'Status map'!$I$6:$I$64,0)),"Unmapped"))</f>
        <v>Dormant</v>
      </c>
      <c r="F341" s="67" t="s">
        <v>510</v>
      </c>
      <c r="G341" s="70" t="n">
        <v>43956</v>
      </c>
      <c r="H341" s="70"/>
      <c r="I341" s="70" t="n">
        <v>46078</v>
      </c>
      <c r="J341" s="67" t="s">
        <v>492</v>
      </c>
      <c r="K341" s="67" t="s">
        <v>462</v>
      </c>
      <c r="L341" s="67" t="s">
        <v>451</v>
      </c>
      <c r="M341" s="66" t="n">
        <f aca="false">IF(OR($A341="",$H341&lt;&gt;""),"",Targets!$C$8-$I341)</f>
        <v>187</v>
      </c>
      <c r="N341" s="66" t="str">
        <f aca="false">IF($A341="","",IF(AND($F341="Project",$E341="Active",$M341&lt;&gt;"",$M341&gt;Targets!$C$12),"Yes","No"))</f>
        <v>No</v>
      </c>
      <c r="O341" s="66" t="str">
        <f aca="false">IF($A341="","",IF(AND($G341&gt;=Targets!$C$7,$G341&lt;=Targets!$C$8),"Yes","No"))</f>
        <v>No</v>
      </c>
      <c r="P341" s="66" t="str">
        <f aca="false">IF($A341="","",IF(AND($H341&lt;&gt;"",$H341&gt;=Targets!$C$7,$H341&lt;=Targets!$C$8),"Yes","No"))</f>
        <v>No</v>
      </c>
      <c r="Q341" s="66" t="str">
        <f aca="false">IF($A341="","",IF(AND($F341="Project",$E341&lt;&gt;"Closed",$E341&lt;&gt;"Dormant"),"Yes","No"))</f>
        <v>No</v>
      </c>
      <c r="R341" s="66" t="str">
        <f aca="false">IF($A341="","",IF(AND($L341="In-house",OR($E341="Intake",$E341="Active",$E341="Waiting")),"Yes","No"))</f>
        <v>No</v>
      </c>
      <c r="S341" s="66" t="str">
        <f aca="false">IF($A341="","",$C341&amp;" | "&amp;$D341)</f>
        <v>Immigration and visas | Approved, renewal window tracked</v>
      </c>
      <c r="T341" s="66" t="str">
        <f aca="false">IF($A341="","",IF(AND($L341="Outside provider",OR($E341="Intake",$E341="Active",$E341="Waiting")),"Yes","No"))</f>
        <v>No</v>
      </c>
    </row>
    <row r="342" customFormat="false" ht="15" hidden="false" customHeight="true" outlineLevel="0" collapsed="false">
      <c r="A342" s="63" t="s">
        <v>1047</v>
      </c>
      <c r="B342" s="63" t="s">
        <v>1048</v>
      </c>
      <c r="C342" s="63" t="s">
        <v>501</v>
      </c>
      <c r="D342" s="63" t="s">
        <v>531</v>
      </c>
      <c r="E342" s="63" t="str">
        <f aca="false">IF($A342="","",IFERROR(INDEX('Status map'!$D$6:$D$64,MATCH($C342&amp;" | "&amp;$D342,'Status map'!$I$6:$I$64,0)),"Unmapped"))</f>
        <v>Waiting</v>
      </c>
      <c r="F342" s="63" t="s">
        <v>448</v>
      </c>
      <c r="G342" s="69" t="n">
        <v>46250</v>
      </c>
      <c r="H342" s="69"/>
      <c r="I342" s="69" t="n">
        <v>46243</v>
      </c>
      <c r="J342" s="63" t="s">
        <v>492</v>
      </c>
      <c r="K342" s="63" t="s">
        <v>492</v>
      </c>
      <c r="L342" s="63" t="s">
        <v>451</v>
      </c>
      <c r="M342" s="66" t="n">
        <f aca="false">IF(OR($A342="",$H342&lt;&gt;""),"",Targets!$C$8-$I342)</f>
        <v>22</v>
      </c>
      <c r="N342" s="66" t="str">
        <f aca="false">IF($A342="","",IF(AND($F342="Project",$E342="Active",$M342&lt;&gt;"",$M342&gt;Targets!$C$12),"Yes","No"))</f>
        <v>No</v>
      </c>
      <c r="O342" s="66" t="str">
        <f aca="false">IF($A342="","",IF(AND($G342&gt;=Targets!$C$7,$G342&lt;=Targets!$C$8),"Yes","No"))</f>
        <v>Yes</v>
      </c>
      <c r="P342" s="66" t="str">
        <f aca="false">IF($A342="","",IF(AND($H342&lt;&gt;"",$H342&gt;=Targets!$C$7,$H342&lt;=Targets!$C$8),"Yes","No"))</f>
        <v>No</v>
      </c>
      <c r="Q342" s="66" t="str">
        <f aca="false">IF($A342="","",IF(AND($F342="Project",$E342&lt;&gt;"Closed",$E342&lt;&gt;"Dormant"),"Yes","No"))</f>
        <v>Yes</v>
      </c>
      <c r="R342" s="66" t="str">
        <f aca="false">IF($A342="","",IF(AND($L342="In-house",OR($E342="Intake",$E342="Active",$E342="Waiting")),"Yes","No"))</f>
        <v>Yes</v>
      </c>
      <c r="S342" s="66" t="str">
        <f aca="false">IF($A342="","",$C342&amp;" | "&amp;$D342)</f>
        <v>M&amp;A and corporate deals | Signed, awaiting regulatory approval or closing conditions</v>
      </c>
      <c r="T342" s="66" t="str">
        <f aca="false">IF($A342="","",IF(AND($L342="Outside provider",OR($E342="Intake",$E342="Active",$E342="Waiting")),"Yes","No"))</f>
        <v>No</v>
      </c>
    </row>
    <row r="343" customFormat="false" ht="15" hidden="false" customHeight="true" outlineLevel="0" collapsed="false">
      <c r="A343" s="67" t="s">
        <v>1049</v>
      </c>
      <c r="B343" s="67" t="s">
        <v>1024</v>
      </c>
      <c r="C343" s="67" t="s">
        <v>465</v>
      </c>
      <c r="D343" s="67" t="s">
        <v>469</v>
      </c>
      <c r="E343" s="67" t="str">
        <f aca="false">IF($A343="","",IFERROR(INDEX('Status map'!$D$6:$D$64,MATCH($C343&amp;" | "&amp;$D343,'Status map'!$I$6:$I$64,0)),"Unmapped"))</f>
        <v>Active</v>
      </c>
      <c r="F343" s="67" t="s">
        <v>448</v>
      </c>
      <c r="G343" s="70" t="n">
        <v>46242</v>
      </c>
      <c r="H343" s="70"/>
      <c r="I343" s="70" t="n">
        <v>46260</v>
      </c>
      <c r="J343" s="67" t="s">
        <v>462</v>
      </c>
      <c r="K343" s="67" t="s">
        <v>492</v>
      </c>
      <c r="L343" s="67" t="s">
        <v>451</v>
      </c>
      <c r="M343" s="66" t="n">
        <f aca="false">IF(OR($A343="",$H343&lt;&gt;""),"",Targets!$C$8-$I343)</f>
        <v>5</v>
      </c>
      <c r="N343" s="66" t="str">
        <f aca="false">IF($A343="","",IF(AND($F343="Project",$E343="Active",$M343&lt;&gt;"",$M343&gt;Targets!$C$12),"Yes","No"))</f>
        <v>No</v>
      </c>
      <c r="O343" s="66" t="str">
        <f aca="false">IF($A343="","",IF(AND($G343&gt;=Targets!$C$7,$G343&lt;=Targets!$C$8),"Yes","No"))</f>
        <v>Yes</v>
      </c>
      <c r="P343" s="66" t="str">
        <f aca="false">IF($A343="","",IF(AND($H343&lt;&gt;"",$H343&gt;=Targets!$C$7,$H343&lt;=Targets!$C$8),"Yes","No"))</f>
        <v>No</v>
      </c>
      <c r="Q343" s="66" t="str">
        <f aca="false">IF($A343="","",IF(AND($F343="Project",$E343&lt;&gt;"Closed",$E343&lt;&gt;"Dormant"),"Yes","No"))</f>
        <v>Yes</v>
      </c>
      <c r="R343" s="66" t="str">
        <f aca="false">IF($A343="","",IF(AND($L343="In-house",OR($E343="Intake",$E343="Active",$E343="Waiting")),"Yes","No"))</f>
        <v>Yes</v>
      </c>
      <c r="S343" s="66" t="str">
        <f aca="false">IF($A343="","",$C343&amp;" | "&amp;$D343)</f>
        <v>Immigration and visas | Petition or an evidence response being prepared</v>
      </c>
      <c r="T343" s="66" t="str">
        <f aca="false">IF($A343="","",IF(AND($L343="Outside provider",OR($E343="Intake",$E343="Active",$E343="Waiting")),"Yes","No"))</f>
        <v>No</v>
      </c>
    </row>
    <row r="344" customFormat="false" ht="15" hidden="false" customHeight="true" outlineLevel="0" collapsed="false">
      <c r="A344" s="63" t="s">
        <v>1050</v>
      </c>
      <c r="B344" s="63" t="s">
        <v>1051</v>
      </c>
      <c r="C344" s="63" t="s">
        <v>454</v>
      </c>
      <c r="D344" s="63" t="s">
        <v>514</v>
      </c>
      <c r="E344" s="63" t="str">
        <f aca="false">IF($A344="","",IFERROR(INDEX('Status map'!$D$6:$D$64,MATCH($C344&amp;" | "&amp;$D344,'Status map'!$I$6:$I$64,0)),"Unmapped"))</f>
        <v>Active</v>
      </c>
      <c r="F344" s="63" t="s">
        <v>448</v>
      </c>
      <c r="G344" s="69" t="n">
        <v>46153</v>
      </c>
      <c r="H344" s="69"/>
      <c r="I344" s="69" t="n">
        <v>46262</v>
      </c>
      <c r="J344" s="63" t="s">
        <v>450</v>
      </c>
      <c r="K344" s="63" t="s">
        <v>461</v>
      </c>
      <c r="L344" s="63" t="s">
        <v>451</v>
      </c>
      <c r="M344" s="66" t="n">
        <f aca="false">IF(OR($A344="",$H344&lt;&gt;""),"",Targets!$C$8-$I344)</f>
        <v>3</v>
      </c>
      <c r="N344" s="66" t="str">
        <f aca="false">IF($A344="","",IF(AND($F344="Project",$E344="Active",$M344&lt;&gt;"",$M344&gt;Targets!$C$12),"Yes","No"))</f>
        <v>No</v>
      </c>
      <c r="O344" s="66" t="str">
        <f aca="false">IF($A344="","",IF(AND($G344&gt;=Targets!$C$7,$G344&lt;=Targets!$C$8),"Yes","No"))</f>
        <v>No</v>
      </c>
      <c r="P344" s="66" t="str">
        <f aca="false">IF($A344="","",IF(AND($H344&lt;&gt;"",$H344&gt;=Targets!$C$7,$H344&lt;=Targets!$C$8),"Yes","No"))</f>
        <v>No</v>
      </c>
      <c r="Q344" s="66" t="str">
        <f aca="false">IF($A344="","",IF(AND($F344="Project",$E344&lt;&gt;"Closed",$E344&lt;&gt;"Dormant"),"Yes","No"))</f>
        <v>Yes</v>
      </c>
      <c r="R344" s="66" t="str">
        <f aca="false">IF($A344="","",IF(AND($L344="In-house",OR($E344="Intake",$E344="Active",$E344="Waiting")),"Yes","No"))</f>
        <v>Yes</v>
      </c>
      <c r="S344" s="66" t="str">
        <f aca="false">IF($A344="","",$C344&amp;" | "&amp;$D344)</f>
        <v>Litigation | Active discovery, motions, or trial prep</v>
      </c>
      <c r="T344" s="66" t="str">
        <f aca="false">IF($A344="","",IF(AND($L344="Outside provider",OR($E344="Intake",$E344="Active",$E344="Waiting")),"Yes","No"))</f>
        <v>No</v>
      </c>
    </row>
    <row r="345" customFormat="false" ht="15" hidden="false" customHeight="true" outlineLevel="0" collapsed="false">
      <c r="A345" s="67" t="s">
        <v>1052</v>
      </c>
      <c r="B345" s="67" t="s">
        <v>1053</v>
      </c>
      <c r="C345" s="67" t="s">
        <v>446</v>
      </c>
      <c r="D345" s="67" t="s">
        <v>545</v>
      </c>
      <c r="E345" s="67" t="str">
        <f aca="false">IF($A345="","",IFERROR(INDEX('Status map'!$D$6:$D$64,MATCH($C345&amp;" | "&amp;$D345,'Status map'!$I$6:$I$64,0)),"Unmapped"))</f>
        <v>Active</v>
      </c>
      <c r="F345" s="67" t="s">
        <v>448</v>
      </c>
      <c r="G345" s="70" t="n">
        <v>45954</v>
      </c>
      <c r="H345" s="70"/>
      <c r="I345" s="70" t="n">
        <v>46175</v>
      </c>
      <c r="J345" s="67" t="s">
        <v>492</v>
      </c>
      <c r="K345" s="67" t="s">
        <v>495</v>
      </c>
      <c r="L345" s="67" t="s">
        <v>496</v>
      </c>
      <c r="M345" s="66" t="n">
        <f aca="false">IF(OR($A345="",$H345&lt;&gt;""),"",Targets!$C$8-$I345)</f>
        <v>90</v>
      </c>
      <c r="N345" s="66" t="str">
        <f aca="false">IF($A345="","",IF(AND($F345="Project",$E345="Active",$M345&lt;&gt;"",$M345&gt;Targets!$C$12),"Yes","No"))</f>
        <v>Yes</v>
      </c>
      <c r="O345" s="66" t="str">
        <f aca="false">IF($A345="","",IF(AND($G345&gt;=Targets!$C$7,$G345&lt;=Targets!$C$8),"Yes","No"))</f>
        <v>No</v>
      </c>
      <c r="P345" s="66" t="str">
        <f aca="false">IF($A345="","",IF(AND($H345&lt;&gt;"",$H345&gt;=Targets!$C$7,$H345&lt;=Targets!$C$8),"Yes","No"))</f>
        <v>No</v>
      </c>
      <c r="Q345" s="66" t="str">
        <f aca="false">IF($A345="","",IF(AND($F345="Project",$E345&lt;&gt;"Closed",$E345&lt;&gt;"Dormant"),"Yes","No"))</f>
        <v>Yes</v>
      </c>
      <c r="R345" s="66" t="str">
        <f aca="false">IF($A345="","",IF(AND($L345="In-house",OR($E345="Intake",$E345="Active",$E345="Waiting")),"Yes","No"))</f>
        <v>No</v>
      </c>
      <c r="S345" s="66" t="str">
        <f aca="false">IF($A345="","",$C345&amp;" | "&amp;$D345)</f>
        <v>Employment | Investigation underway</v>
      </c>
      <c r="T345" s="66" t="str">
        <f aca="false">IF($A345="","",IF(AND($L345="Outside provider",OR($E345="Intake",$E345="Active",$E345="Waiting")),"Yes","No"))</f>
        <v>Yes</v>
      </c>
    </row>
    <row r="346" customFormat="false" ht="15" hidden="false" customHeight="true" outlineLevel="0" collapsed="false">
      <c r="A346" s="63" t="s">
        <v>1054</v>
      </c>
      <c r="B346" s="63" t="s">
        <v>511</v>
      </c>
      <c r="C346" s="63" t="s">
        <v>446</v>
      </c>
      <c r="D346" s="63" t="s">
        <v>473</v>
      </c>
      <c r="E346" s="63" t="str">
        <f aca="false">IF($A346="","",IFERROR(INDEX('Status map'!$D$6:$D$64,MATCH($C346&amp;" | "&amp;$D346,'Status map'!$I$6:$I$64,0)),"Unmapped"))</f>
        <v>Closed</v>
      </c>
      <c r="F346" s="63" t="s">
        <v>482</v>
      </c>
      <c r="G346" s="69" t="n">
        <v>45946</v>
      </c>
      <c r="H346" s="69" t="n">
        <v>46139</v>
      </c>
      <c r="I346" s="69" t="n">
        <v>46139</v>
      </c>
      <c r="J346" s="63" t="s">
        <v>450</v>
      </c>
      <c r="K346" s="63" t="s">
        <v>474</v>
      </c>
      <c r="L346" s="63" t="s">
        <v>451</v>
      </c>
      <c r="M346" s="66" t="str">
        <f aca="false">IF(OR($A346="",$H346&lt;&gt;""),"",Targets!$C$8-$I346)</f>
        <v/>
      </c>
      <c r="N346" s="66" t="str">
        <f aca="false">IF($A346="","",IF(AND($F346="Project",$E346="Active",$M346&lt;&gt;"",$M346&gt;Targets!$C$12),"Yes","No"))</f>
        <v>No</v>
      </c>
      <c r="O346" s="66" t="str">
        <f aca="false">IF($A346="","",IF(AND($G346&gt;=Targets!$C$7,$G346&lt;=Targets!$C$8),"Yes","No"))</f>
        <v>No</v>
      </c>
      <c r="P346" s="66" t="str">
        <f aca="false">IF($A346="","",IF(AND($H346&lt;&gt;"",$H346&gt;=Targets!$C$7,$H346&lt;=Targets!$C$8),"Yes","No"))</f>
        <v>No</v>
      </c>
      <c r="Q346" s="66" t="str">
        <f aca="false">IF($A346="","",IF(AND($F346="Project",$E346&lt;&gt;"Closed",$E346&lt;&gt;"Dormant"),"Yes","No"))</f>
        <v>No</v>
      </c>
      <c r="R346" s="66" t="str">
        <f aca="false">IF($A346="","",IF(AND($L346="In-house",OR($E346="Intake",$E346="Active",$E346="Waiting")),"Yes","No"))</f>
        <v>No</v>
      </c>
      <c r="S346" s="66" t="str">
        <f aca="false">IF($A346="","",$C346&amp;" | "&amp;$D346)</f>
        <v>Employment | Resolved or closed</v>
      </c>
      <c r="T346" s="66" t="str">
        <f aca="false">IF($A346="","",IF(AND($L346="Outside provider",OR($E346="Intake",$E346="Active",$E346="Waiting")),"Yes","No"))</f>
        <v>No</v>
      </c>
    </row>
    <row r="347" customFormat="false" ht="15" hidden="false" customHeight="true" outlineLevel="0" collapsed="false">
      <c r="A347" s="67" t="s">
        <v>1055</v>
      </c>
      <c r="B347" s="67" t="s">
        <v>1056</v>
      </c>
      <c r="C347" s="67" t="s">
        <v>459</v>
      </c>
      <c r="D347" s="67" t="s">
        <v>478</v>
      </c>
      <c r="E347" s="67" t="str">
        <f aca="false">IF($A347="","",IFERROR(INDEX('Status map'!$D$6:$D$64,MATCH($C347&amp;" | "&amp;$D347,'Status map'!$I$6:$I$64,0)),"Unmapped"))</f>
        <v>Closed</v>
      </c>
      <c r="F347" s="67" t="s">
        <v>448</v>
      </c>
      <c r="G347" s="70" t="n">
        <v>45796</v>
      </c>
      <c r="H347" s="70" t="n">
        <v>45890</v>
      </c>
      <c r="I347" s="70" t="n">
        <v>45890</v>
      </c>
      <c r="J347" s="67" t="s">
        <v>461</v>
      </c>
      <c r="K347" s="67" t="s">
        <v>474</v>
      </c>
      <c r="L347" s="67" t="s">
        <v>451</v>
      </c>
      <c r="M347" s="66" t="str">
        <f aca="false">IF(OR($A347="",$H347&lt;&gt;""),"",Targets!$C$8-$I347)</f>
        <v/>
      </c>
      <c r="N347" s="66" t="str">
        <f aca="false">IF($A347="","",IF(AND($F347="Project",$E347="Active",$M347&lt;&gt;"",$M347&gt;Targets!$C$12),"Yes","No"))</f>
        <v>No</v>
      </c>
      <c r="O347" s="66" t="str">
        <f aca="false">IF($A347="","",IF(AND($G347&gt;=Targets!$C$7,$G347&lt;=Targets!$C$8),"Yes","No"))</f>
        <v>No</v>
      </c>
      <c r="P347" s="66" t="str">
        <f aca="false">IF($A347="","",IF(AND($H347&lt;&gt;"",$H347&gt;=Targets!$C$7,$H347&lt;=Targets!$C$8),"Yes","No"))</f>
        <v>No</v>
      </c>
      <c r="Q347" s="66" t="str">
        <f aca="false">IF($A347="","",IF(AND($F347="Project",$E347&lt;&gt;"Closed",$E347&lt;&gt;"Dormant"),"Yes","No"))</f>
        <v>No</v>
      </c>
      <c r="R347" s="66" t="str">
        <f aca="false">IF($A347="","",IF(AND($L347="In-house",OR($E347="Intake",$E347="Active",$E347="Waiting")),"Yes","No"))</f>
        <v>No</v>
      </c>
      <c r="S347" s="66" t="str">
        <f aca="false">IF($A347="","",$C347&amp;" | "&amp;$D347)</f>
        <v>Contracts | Executed</v>
      </c>
      <c r="T347" s="66" t="str">
        <f aca="false">IF($A347="","",IF(AND($L347="Outside provider",OR($E347="Intake",$E347="Active",$E347="Waiting")),"Yes","No"))</f>
        <v>No</v>
      </c>
    </row>
    <row r="348" customFormat="false" ht="15" hidden="false" customHeight="true" outlineLevel="0" collapsed="false">
      <c r="A348" s="63" t="s">
        <v>1057</v>
      </c>
      <c r="B348" s="63" t="s">
        <v>1058</v>
      </c>
      <c r="C348" s="63" t="s">
        <v>459</v>
      </c>
      <c r="D348" s="63" t="s">
        <v>491</v>
      </c>
      <c r="E348" s="63" t="str">
        <f aca="false">IF($A348="","",IFERROR(INDEX('Status map'!$D$6:$D$64,MATCH($C348&amp;" | "&amp;$D348,'Status map'!$I$6:$I$64,0)),"Unmapped"))</f>
        <v>Active</v>
      </c>
      <c r="F348" s="63" t="s">
        <v>482</v>
      </c>
      <c r="G348" s="69" t="n">
        <v>46209</v>
      </c>
      <c r="H348" s="69"/>
      <c r="I348" s="69" t="n">
        <v>46255</v>
      </c>
      <c r="J348" s="63" t="s">
        <v>492</v>
      </c>
      <c r="K348" s="63" t="s">
        <v>456</v>
      </c>
      <c r="L348" s="63" t="s">
        <v>451</v>
      </c>
      <c r="M348" s="66" t="n">
        <f aca="false">IF(OR($A348="",$H348&lt;&gt;""),"",Targets!$C$8-$I348)</f>
        <v>10</v>
      </c>
      <c r="N348" s="66" t="str">
        <f aca="false">IF($A348="","",IF(AND($F348="Project",$E348="Active",$M348&lt;&gt;"",$M348&gt;Targets!$C$12),"Yes","No"))</f>
        <v>No</v>
      </c>
      <c r="O348" s="66" t="str">
        <f aca="false">IF($A348="","",IF(AND($G348&gt;=Targets!$C$7,$G348&lt;=Targets!$C$8),"Yes","No"))</f>
        <v>No</v>
      </c>
      <c r="P348" s="66" t="str">
        <f aca="false">IF($A348="","",IF(AND($H348&lt;&gt;"",$H348&gt;=Targets!$C$7,$H348&lt;=Targets!$C$8),"Yes","No"))</f>
        <v>No</v>
      </c>
      <c r="Q348" s="66" t="str">
        <f aca="false">IF($A348="","",IF(AND($F348="Project",$E348&lt;&gt;"Closed",$E348&lt;&gt;"Dormant"),"Yes","No"))</f>
        <v>No</v>
      </c>
      <c r="R348" s="66" t="str">
        <f aca="false">IF($A348="","",IF(AND($L348="In-house",OR($E348="Intake",$E348="Active",$E348="Waiting")),"Yes","No"))</f>
        <v>Yes</v>
      </c>
      <c r="S348" s="66" t="str">
        <f aca="false">IF($A348="","",$C348&amp;" | "&amp;$D348)</f>
        <v>Contracts | Drafting, review, or negotiation</v>
      </c>
      <c r="T348" s="66" t="str">
        <f aca="false">IF($A348="","",IF(AND($L348="Outside provider",OR($E348="Intake",$E348="Active",$E348="Waiting")),"Yes","No"))</f>
        <v>No</v>
      </c>
    </row>
    <row r="349" customFormat="false" ht="15" hidden="false" customHeight="true" outlineLevel="0" collapsed="false">
      <c r="A349" s="67" t="s">
        <v>1059</v>
      </c>
      <c r="B349" s="67" t="s">
        <v>1060</v>
      </c>
      <c r="C349" s="67" t="s">
        <v>465</v>
      </c>
      <c r="D349" s="67" t="s">
        <v>509</v>
      </c>
      <c r="E349" s="67" t="str">
        <f aca="false">IF($A349="","",IFERROR(INDEX('Status map'!$D$6:$D$64,MATCH($C349&amp;" | "&amp;$D349,'Status map'!$I$6:$I$64,0)),"Unmapped"))</f>
        <v>Dormant</v>
      </c>
      <c r="F349" s="67" t="s">
        <v>510</v>
      </c>
      <c r="G349" s="70" t="n">
        <v>44486</v>
      </c>
      <c r="H349" s="70"/>
      <c r="I349" s="70" t="n">
        <v>45984</v>
      </c>
      <c r="J349" s="67" t="s">
        <v>456</v>
      </c>
      <c r="K349" s="67" t="s">
        <v>461</v>
      </c>
      <c r="L349" s="67" t="s">
        <v>451</v>
      </c>
      <c r="M349" s="66" t="n">
        <f aca="false">IF(OR($A349="",$H349&lt;&gt;""),"",Targets!$C$8-$I349)</f>
        <v>281</v>
      </c>
      <c r="N349" s="66" t="str">
        <f aca="false">IF($A349="","",IF(AND($F349="Project",$E349="Active",$M349&lt;&gt;"",$M349&gt;Targets!$C$12),"Yes","No"))</f>
        <v>No</v>
      </c>
      <c r="O349" s="66" t="str">
        <f aca="false">IF($A349="","",IF(AND($G349&gt;=Targets!$C$7,$G349&lt;=Targets!$C$8),"Yes","No"))</f>
        <v>No</v>
      </c>
      <c r="P349" s="66" t="str">
        <f aca="false">IF($A349="","",IF(AND($H349&lt;&gt;"",$H349&gt;=Targets!$C$7,$H349&lt;=Targets!$C$8),"Yes","No"))</f>
        <v>No</v>
      </c>
      <c r="Q349" s="66" t="str">
        <f aca="false">IF($A349="","",IF(AND($F349="Project",$E349&lt;&gt;"Closed",$E349&lt;&gt;"Dormant"),"Yes","No"))</f>
        <v>No</v>
      </c>
      <c r="R349" s="66" t="str">
        <f aca="false">IF($A349="","",IF(AND($L349="In-house",OR($E349="Intake",$E349="Active",$E349="Waiting")),"Yes","No"))</f>
        <v>No</v>
      </c>
      <c r="S349" s="66" t="str">
        <f aca="false">IF($A349="","",$C349&amp;" | "&amp;$D349)</f>
        <v>Immigration and visas | Approved, renewal window tracked</v>
      </c>
      <c r="T349" s="66" t="str">
        <f aca="false">IF($A349="","",IF(AND($L349="Outside provider",OR($E349="Intake",$E349="Active",$E349="Waiting")),"Yes","No"))</f>
        <v>No</v>
      </c>
    </row>
    <row r="350" customFormat="false" ht="15" hidden="false" customHeight="true" outlineLevel="0" collapsed="false">
      <c r="A350" s="63" t="s">
        <v>1061</v>
      </c>
      <c r="B350" s="63" t="s">
        <v>655</v>
      </c>
      <c r="C350" s="63" t="s">
        <v>459</v>
      </c>
      <c r="D350" s="63" t="s">
        <v>478</v>
      </c>
      <c r="E350" s="63" t="str">
        <f aca="false">IF($A350="","",IFERROR(INDEX('Status map'!$D$6:$D$64,MATCH($C350&amp;" | "&amp;$D350,'Status map'!$I$6:$I$64,0)),"Unmapped"))</f>
        <v>Closed</v>
      </c>
      <c r="F350" s="63" t="s">
        <v>448</v>
      </c>
      <c r="G350" s="69" t="n">
        <v>45978</v>
      </c>
      <c r="H350" s="69" t="n">
        <v>46245</v>
      </c>
      <c r="I350" s="69" t="n">
        <v>46245</v>
      </c>
      <c r="J350" s="63" t="s">
        <v>462</v>
      </c>
      <c r="K350" s="63" t="s">
        <v>538</v>
      </c>
      <c r="L350" s="63" t="s">
        <v>496</v>
      </c>
      <c r="M350" s="66" t="str">
        <f aca="false">IF(OR($A350="",$H350&lt;&gt;""),"",Targets!$C$8-$I350)</f>
        <v/>
      </c>
      <c r="N350" s="66" t="str">
        <f aca="false">IF($A350="","",IF(AND($F350="Project",$E350="Active",$M350&lt;&gt;"",$M350&gt;Targets!$C$12),"Yes","No"))</f>
        <v>No</v>
      </c>
      <c r="O350" s="66" t="str">
        <f aca="false">IF($A350="","",IF(AND($G350&gt;=Targets!$C$7,$G350&lt;=Targets!$C$8),"Yes","No"))</f>
        <v>No</v>
      </c>
      <c r="P350" s="66" t="str">
        <f aca="false">IF($A350="","",IF(AND($H350&lt;&gt;"",$H350&gt;=Targets!$C$7,$H350&lt;=Targets!$C$8),"Yes","No"))</f>
        <v>Yes</v>
      </c>
      <c r="Q350" s="66" t="str">
        <f aca="false">IF($A350="","",IF(AND($F350="Project",$E350&lt;&gt;"Closed",$E350&lt;&gt;"Dormant"),"Yes","No"))</f>
        <v>No</v>
      </c>
      <c r="R350" s="66" t="str">
        <f aca="false">IF($A350="","",IF(AND($L350="In-house",OR($E350="Intake",$E350="Active",$E350="Waiting")),"Yes","No"))</f>
        <v>No</v>
      </c>
      <c r="S350" s="66" t="str">
        <f aca="false">IF($A350="","",$C350&amp;" | "&amp;$D350)</f>
        <v>Contracts | Executed</v>
      </c>
      <c r="T350" s="66" t="str">
        <f aca="false">IF($A350="","",IF(AND($L350="Outside provider",OR($E350="Intake",$E350="Active",$E350="Waiting")),"Yes","No"))</f>
        <v>No</v>
      </c>
    </row>
    <row r="351" customFormat="false" ht="15" hidden="false" customHeight="true" outlineLevel="0" collapsed="false">
      <c r="A351" s="67" t="s">
        <v>1062</v>
      </c>
      <c r="B351" s="67" t="s">
        <v>1063</v>
      </c>
      <c r="C351" s="67" t="s">
        <v>465</v>
      </c>
      <c r="D351" s="67" t="s">
        <v>469</v>
      </c>
      <c r="E351" s="67" t="str">
        <f aca="false">IF($A351="","",IFERROR(INDEX('Status map'!$D$6:$D$64,MATCH($C351&amp;" | "&amp;$D351,'Status map'!$I$6:$I$64,0)),"Unmapped"))</f>
        <v>Active</v>
      </c>
      <c r="F351" s="67" t="s">
        <v>510</v>
      </c>
      <c r="G351" s="70" t="n">
        <v>45621</v>
      </c>
      <c r="H351" s="70"/>
      <c r="I351" s="70" t="n">
        <v>46225</v>
      </c>
      <c r="J351" s="67" t="s">
        <v>470</v>
      </c>
      <c r="K351" s="67" t="s">
        <v>450</v>
      </c>
      <c r="L351" s="67" t="s">
        <v>451</v>
      </c>
      <c r="M351" s="66" t="n">
        <f aca="false">IF(OR($A351="",$H351&lt;&gt;""),"",Targets!$C$8-$I351)</f>
        <v>40</v>
      </c>
      <c r="N351" s="66" t="str">
        <f aca="false">IF($A351="","",IF(AND($F351="Project",$E351="Active",$M351&lt;&gt;"",$M351&gt;Targets!$C$12),"Yes","No"))</f>
        <v>No</v>
      </c>
      <c r="O351" s="66" t="str">
        <f aca="false">IF($A351="","",IF(AND($G351&gt;=Targets!$C$7,$G351&lt;=Targets!$C$8),"Yes","No"))</f>
        <v>No</v>
      </c>
      <c r="P351" s="66" t="str">
        <f aca="false">IF($A351="","",IF(AND($H351&lt;&gt;"",$H351&gt;=Targets!$C$7,$H351&lt;=Targets!$C$8),"Yes","No"))</f>
        <v>No</v>
      </c>
      <c r="Q351" s="66" t="str">
        <f aca="false">IF($A351="","",IF(AND($F351="Project",$E351&lt;&gt;"Closed",$E351&lt;&gt;"Dormant"),"Yes","No"))</f>
        <v>No</v>
      </c>
      <c r="R351" s="66" t="str">
        <f aca="false">IF($A351="","",IF(AND($L351="In-house",OR($E351="Intake",$E351="Active",$E351="Waiting")),"Yes","No"))</f>
        <v>Yes</v>
      </c>
      <c r="S351" s="66" t="str">
        <f aca="false">IF($A351="","",$C351&amp;" | "&amp;$D351)</f>
        <v>Immigration and visas | Petition or an evidence response being prepared</v>
      </c>
      <c r="T351" s="66" t="str">
        <f aca="false">IF($A351="","",IF(AND($L351="Outside provider",OR($E351="Intake",$E351="Active",$E351="Waiting")),"Yes","No"))</f>
        <v>No</v>
      </c>
    </row>
    <row r="352" customFormat="false" ht="15" hidden="false" customHeight="true" outlineLevel="0" collapsed="false">
      <c r="A352" s="63" t="s">
        <v>1064</v>
      </c>
      <c r="B352" s="63" t="s">
        <v>1065</v>
      </c>
      <c r="C352" s="63" t="s">
        <v>446</v>
      </c>
      <c r="D352" s="63" t="s">
        <v>473</v>
      </c>
      <c r="E352" s="63" t="str">
        <f aca="false">IF($A352="","",IFERROR(INDEX('Status map'!$D$6:$D$64,MATCH($C352&amp;" | "&amp;$D352,'Status map'!$I$6:$I$64,0)),"Unmapped"))</f>
        <v>Closed</v>
      </c>
      <c r="F352" s="63" t="s">
        <v>448</v>
      </c>
      <c r="G352" s="69" t="n">
        <v>45852</v>
      </c>
      <c r="H352" s="69" t="n">
        <v>45927</v>
      </c>
      <c r="I352" s="69" t="n">
        <v>45927</v>
      </c>
      <c r="J352" s="63" t="s">
        <v>456</v>
      </c>
      <c r="K352" s="63" t="s">
        <v>664</v>
      </c>
      <c r="L352" s="63" t="s">
        <v>496</v>
      </c>
      <c r="M352" s="66" t="str">
        <f aca="false">IF(OR($A352="",$H352&lt;&gt;""),"",Targets!$C$8-$I352)</f>
        <v/>
      </c>
      <c r="N352" s="66" t="str">
        <f aca="false">IF($A352="","",IF(AND($F352="Project",$E352="Active",$M352&lt;&gt;"",$M352&gt;Targets!$C$12),"Yes","No"))</f>
        <v>No</v>
      </c>
      <c r="O352" s="66" t="str">
        <f aca="false">IF($A352="","",IF(AND($G352&gt;=Targets!$C$7,$G352&lt;=Targets!$C$8),"Yes","No"))</f>
        <v>No</v>
      </c>
      <c r="P352" s="66" t="str">
        <f aca="false">IF($A352="","",IF(AND($H352&lt;&gt;"",$H352&gt;=Targets!$C$7,$H352&lt;=Targets!$C$8),"Yes","No"))</f>
        <v>No</v>
      </c>
      <c r="Q352" s="66" t="str">
        <f aca="false">IF($A352="","",IF(AND($F352="Project",$E352&lt;&gt;"Closed",$E352&lt;&gt;"Dormant"),"Yes","No"))</f>
        <v>No</v>
      </c>
      <c r="R352" s="66" t="str">
        <f aca="false">IF($A352="","",IF(AND($L352="In-house",OR($E352="Intake",$E352="Active",$E352="Waiting")),"Yes","No"))</f>
        <v>No</v>
      </c>
      <c r="S352" s="66" t="str">
        <f aca="false">IF($A352="","",$C352&amp;" | "&amp;$D352)</f>
        <v>Employment | Resolved or closed</v>
      </c>
      <c r="T352" s="66" t="str">
        <f aca="false">IF($A352="","",IF(AND($L352="Outside provider",OR($E352="Intake",$E352="Active",$E352="Waiting")),"Yes","No"))</f>
        <v>No</v>
      </c>
    </row>
    <row r="353" customFormat="false" ht="15" hidden="false" customHeight="true" outlineLevel="0" collapsed="false">
      <c r="A353" s="67" t="s">
        <v>1066</v>
      </c>
      <c r="B353" s="67" t="s">
        <v>609</v>
      </c>
      <c r="C353" s="67" t="s">
        <v>446</v>
      </c>
      <c r="D353" s="67" t="s">
        <v>473</v>
      </c>
      <c r="E353" s="67" t="str">
        <f aca="false">IF($A353="","",IFERROR(INDEX('Status map'!$D$6:$D$64,MATCH($C353&amp;" | "&amp;$D353,'Status map'!$I$6:$I$64,0)),"Unmapped"))</f>
        <v>Closed</v>
      </c>
      <c r="F353" s="67" t="s">
        <v>482</v>
      </c>
      <c r="G353" s="70" t="n">
        <v>45949</v>
      </c>
      <c r="H353" s="70" t="n">
        <v>46247</v>
      </c>
      <c r="I353" s="70" t="n">
        <v>46247</v>
      </c>
      <c r="J353" s="67" t="s">
        <v>449</v>
      </c>
      <c r="K353" s="67" t="s">
        <v>450</v>
      </c>
      <c r="L353" s="67" t="s">
        <v>451</v>
      </c>
      <c r="M353" s="66" t="str">
        <f aca="false">IF(OR($A353="",$H353&lt;&gt;""),"",Targets!$C$8-$I353)</f>
        <v/>
      </c>
      <c r="N353" s="66" t="str">
        <f aca="false">IF($A353="","",IF(AND($F353="Project",$E353="Active",$M353&lt;&gt;"",$M353&gt;Targets!$C$12),"Yes","No"))</f>
        <v>No</v>
      </c>
      <c r="O353" s="66" t="str">
        <f aca="false">IF($A353="","",IF(AND($G353&gt;=Targets!$C$7,$G353&lt;=Targets!$C$8),"Yes","No"))</f>
        <v>No</v>
      </c>
      <c r="P353" s="66" t="str">
        <f aca="false">IF($A353="","",IF(AND($H353&lt;&gt;"",$H353&gt;=Targets!$C$7,$H353&lt;=Targets!$C$8),"Yes","No"))</f>
        <v>Yes</v>
      </c>
      <c r="Q353" s="66" t="str">
        <f aca="false">IF($A353="","",IF(AND($F353="Project",$E353&lt;&gt;"Closed",$E353&lt;&gt;"Dormant"),"Yes","No"))</f>
        <v>No</v>
      </c>
      <c r="R353" s="66" t="str">
        <f aca="false">IF($A353="","",IF(AND($L353="In-house",OR($E353="Intake",$E353="Active",$E353="Waiting")),"Yes","No"))</f>
        <v>No</v>
      </c>
      <c r="S353" s="66" t="str">
        <f aca="false">IF($A353="","",$C353&amp;" | "&amp;$D353)</f>
        <v>Employment | Resolved or closed</v>
      </c>
      <c r="T353" s="66" t="str">
        <f aca="false">IF($A353="","",IF(AND($L353="Outside provider",OR($E353="Intake",$E353="Active",$E353="Waiting")),"Yes","No"))</f>
        <v>No</v>
      </c>
    </row>
    <row r="354" customFormat="false" ht="15" hidden="false" customHeight="true" outlineLevel="0" collapsed="false">
      <c r="A354" s="63" t="s">
        <v>1067</v>
      </c>
      <c r="B354" s="63" t="s">
        <v>1068</v>
      </c>
      <c r="C354" s="63" t="s">
        <v>454</v>
      </c>
      <c r="D354" s="63" t="s">
        <v>455</v>
      </c>
      <c r="E354" s="63" t="str">
        <f aca="false">IF($A354="","",IFERROR(INDEX('Status map'!$D$6:$D$64,MATCH($C354&amp;" | "&amp;$D354,'Status map'!$I$6:$I$64,0)),"Unmapped"))</f>
        <v>Closed</v>
      </c>
      <c r="F354" s="63" t="s">
        <v>448</v>
      </c>
      <c r="G354" s="69" t="n">
        <v>46244</v>
      </c>
      <c r="H354" s="69" t="n">
        <v>46246</v>
      </c>
      <c r="I354" s="69" t="n">
        <v>46246</v>
      </c>
      <c r="J354" s="63" t="s">
        <v>470</v>
      </c>
      <c r="K354" s="63" t="s">
        <v>492</v>
      </c>
      <c r="L354" s="63" t="s">
        <v>451</v>
      </c>
      <c r="M354" s="66" t="str">
        <f aca="false">IF(OR($A354="",$H354&lt;&gt;""),"",Targets!$C$8-$I354)</f>
        <v/>
      </c>
      <c r="N354" s="66" t="str">
        <f aca="false">IF($A354="","",IF(AND($F354="Project",$E354="Active",$M354&lt;&gt;"",$M354&gt;Targets!$C$12),"Yes","No"))</f>
        <v>No</v>
      </c>
      <c r="O354" s="66" t="str">
        <f aca="false">IF($A354="","",IF(AND($G354&gt;=Targets!$C$7,$G354&lt;=Targets!$C$8),"Yes","No"))</f>
        <v>Yes</v>
      </c>
      <c r="P354" s="66" t="str">
        <f aca="false">IF($A354="","",IF(AND($H354&lt;&gt;"",$H354&gt;=Targets!$C$7,$H354&lt;=Targets!$C$8),"Yes","No"))</f>
        <v>Yes</v>
      </c>
      <c r="Q354" s="66" t="str">
        <f aca="false">IF($A354="","",IF(AND($F354="Project",$E354&lt;&gt;"Closed",$E354&lt;&gt;"Dormant"),"Yes","No"))</f>
        <v>No</v>
      </c>
      <c r="R354" s="66" t="str">
        <f aca="false">IF($A354="","",IF(AND($L354="In-house",OR($E354="Intake",$E354="Active",$E354="Waiting")),"Yes","No"))</f>
        <v>No</v>
      </c>
      <c r="S354" s="66" t="str">
        <f aca="false">IF($A354="","",$C354&amp;" | "&amp;$D354)</f>
        <v>Litigation | Settled, dismissed, or judgment entered</v>
      </c>
      <c r="T354" s="66" t="str">
        <f aca="false">IF($A354="","",IF(AND($L354="Outside provider",OR($E354="Intake",$E354="Active",$E354="Waiting")),"Yes","No"))</f>
        <v>No</v>
      </c>
    </row>
    <row r="355" customFormat="false" ht="15" hidden="false" customHeight="true" outlineLevel="0" collapsed="false">
      <c r="A355" s="67" t="s">
        <v>1069</v>
      </c>
      <c r="B355" s="67" t="s">
        <v>540</v>
      </c>
      <c r="C355" s="67" t="s">
        <v>501</v>
      </c>
      <c r="D355" s="67" t="s">
        <v>517</v>
      </c>
      <c r="E355" s="67" t="str">
        <f aca="false">IF($A355="","",IFERROR(INDEX('Status map'!$D$6:$D$64,MATCH($C355&amp;" | "&amp;$D355,'Status map'!$I$6:$I$64,0)),"Unmapped"))</f>
        <v>Dormant</v>
      </c>
      <c r="F355" s="67" t="s">
        <v>510</v>
      </c>
      <c r="G355" s="70" t="n">
        <v>45977</v>
      </c>
      <c r="H355" s="70"/>
      <c r="I355" s="70" t="n">
        <v>46235</v>
      </c>
      <c r="J355" s="67" t="s">
        <v>470</v>
      </c>
      <c r="K355" s="67" t="s">
        <v>449</v>
      </c>
      <c r="L355" s="67" t="s">
        <v>451</v>
      </c>
      <c r="M355" s="66" t="n">
        <f aca="false">IF(OR($A355="",$H355&lt;&gt;""),"",Targets!$C$8-$I355)</f>
        <v>30</v>
      </c>
      <c r="N355" s="66" t="str">
        <f aca="false">IF($A355="","",IF(AND($F355="Project",$E355="Active",$M355&lt;&gt;"",$M355&gt;Targets!$C$12),"Yes","No"))</f>
        <v>No</v>
      </c>
      <c r="O355" s="66" t="str">
        <f aca="false">IF($A355="","",IF(AND($G355&gt;=Targets!$C$7,$G355&lt;=Targets!$C$8),"Yes","No"))</f>
        <v>No</v>
      </c>
      <c r="P355" s="66" t="str">
        <f aca="false">IF($A355="","",IF(AND($H355&lt;&gt;"",$H355&gt;=Targets!$C$7,$H355&lt;=Targets!$C$8),"Yes","No"))</f>
        <v>No</v>
      </c>
      <c r="Q355" s="66" t="str">
        <f aca="false">IF($A355="","",IF(AND($F355="Project",$E355&lt;&gt;"Closed",$E355&lt;&gt;"Dormant"),"Yes","No"))</f>
        <v>No</v>
      </c>
      <c r="R355" s="66" t="str">
        <f aca="false">IF($A355="","",IF(AND($L355="In-house",OR($E355="Intake",$E355="Active",$E355="Waiting")),"Yes","No"))</f>
        <v>No</v>
      </c>
      <c r="S355" s="66" t="str">
        <f aca="false">IF($A355="","",$C355&amp;" | "&amp;$D355)</f>
        <v>M&amp;A and corporate deals | Post-closing obligations tracked</v>
      </c>
      <c r="T355" s="66" t="str">
        <f aca="false">IF($A355="","",IF(AND($L355="Outside provider",OR($E355="Intake",$E355="Active",$E355="Waiting")),"Yes","No"))</f>
        <v>No</v>
      </c>
    </row>
    <row r="356" customFormat="false" ht="15" hidden="false" customHeight="true" outlineLevel="0" collapsed="false">
      <c r="A356" s="63" t="s">
        <v>1070</v>
      </c>
      <c r="B356" s="63" t="s">
        <v>1071</v>
      </c>
      <c r="C356" s="63" t="s">
        <v>446</v>
      </c>
      <c r="D356" s="63" t="s">
        <v>473</v>
      </c>
      <c r="E356" s="63" t="str">
        <f aca="false">IF($A356="","",IFERROR(INDEX('Status map'!$D$6:$D$64,MATCH($C356&amp;" | "&amp;$D356,'Status map'!$I$6:$I$64,0)),"Unmapped"))</f>
        <v>Closed</v>
      </c>
      <c r="F356" s="63" t="s">
        <v>482</v>
      </c>
      <c r="G356" s="69" t="n">
        <v>46089</v>
      </c>
      <c r="H356" s="69" t="n">
        <v>46259</v>
      </c>
      <c r="I356" s="69" t="n">
        <v>46259</v>
      </c>
      <c r="J356" s="63" t="s">
        <v>462</v>
      </c>
      <c r="K356" s="63" t="s">
        <v>470</v>
      </c>
      <c r="L356" s="63" t="s">
        <v>451</v>
      </c>
      <c r="M356" s="66" t="str">
        <f aca="false">IF(OR($A356="",$H356&lt;&gt;""),"",Targets!$C$8-$I356)</f>
        <v/>
      </c>
      <c r="N356" s="66" t="str">
        <f aca="false">IF($A356="","",IF(AND($F356="Project",$E356="Active",$M356&lt;&gt;"",$M356&gt;Targets!$C$12),"Yes","No"))</f>
        <v>No</v>
      </c>
      <c r="O356" s="66" t="str">
        <f aca="false">IF($A356="","",IF(AND($G356&gt;=Targets!$C$7,$G356&lt;=Targets!$C$8),"Yes","No"))</f>
        <v>No</v>
      </c>
      <c r="P356" s="66" t="str">
        <f aca="false">IF($A356="","",IF(AND($H356&lt;&gt;"",$H356&gt;=Targets!$C$7,$H356&lt;=Targets!$C$8),"Yes","No"))</f>
        <v>Yes</v>
      </c>
      <c r="Q356" s="66" t="str">
        <f aca="false">IF($A356="","",IF(AND($F356="Project",$E356&lt;&gt;"Closed",$E356&lt;&gt;"Dormant"),"Yes","No"))</f>
        <v>No</v>
      </c>
      <c r="R356" s="66" t="str">
        <f aca="false">IF($A356="","",IF(AND($L356="In-house",OR($E356="Intake",$E356="Active",$E356="Waiting")),"Yes","No"))</f>
        <v>No</v>
      </c>
      <c r="S356" s="66" t="str">
        <f aca="false">IF($A356="","",$C356&amp;" | "&amp;$D356)</f>
        <v>Employment | Resolved or closed</v>
      </c>
      <c r="T356" s="66" t="str">
        <f aca="false">IF($A356="","",IF(AND($L356="Outside provider",OR($E356="Intake",$E356="Active",$E356="Waiting")),"Yes","No"))</f>
        <v>No</v>
      </c>
    </row>
    <row r="357" customFormat="false" ht="15" hidden="false" customHeight="true" outlineLevel="0" collapsed="false">
      <c r="A357" s="67" t="s">
        <v>1072</v>
      </c>
      <c r="B357" s="67" t="s">
        <v>1073</v>
      </c>
      <c r="C357" s="67" t="s">
        <v>459</v>
      </c>
      <c r="D357" s="67" t="s">
        <v>481</v>
      </c>
      <c r="E357" s="67" t="str">
        <f aca="false">IF($A357="","",IFERROR(INDEX('Status map'!$D$6:$D$64,MATCH($C357&amp;" | "&amp;$D357,'Status map'!$I$6:$I$64,0)),"Unmapped"))</f>
        <v>Closed</v>
      </c>
      <c r="F357" s="67" t="s">
        <v>448</v>
      </c>
      <c r="G357" s="70" t="n">
        <v>45851</v>
      </c>
      <c r="H357" s="70" t="n">
        <v>46044</v>
      </c>
      <c r="I357" s="70" t="n">
        <v>46044</v>
      </c>
      <c r="J357" s="67" t="s">
        <v>474</v>
      </c>
      <c r="K357" s="67" t="s">
        <v>492</v>
      </c>
      <c r="L357" s="67" t="s">
        <v>451</v>
      </c>
      <c r="M357" s="66" t="str">
        <f aca="false">IF(OR($A357="",$H357&lt;&gt;""),"",Targets!$C$8-$I357)</f>
        <v/>
      </c>
      <c r="N357" s="66" t="str">
        <f aca="false">IF($A357="","",IF(AND($F357="Project",$E357="Active",$M357&lt;&gt;"",$M357&gt;Targets!$C$12),"Yes","No"))</f>
        <v>No</v>
      </c>
      <c r="O357" s="66" t="str">
        <f aca="false">IF($A357="","",IF(AND($G357&gt;=Targets!$C$7,$G357&lt;=Targets!$C$8),"Yes","No"))</f>
        <v>No</v>
      </c>
      <c r="P357" s="66" t="str">
        <f aca="false">IF($A357="","",IF(AND($H357&lt;&gt;"",$H357&gt;=Targets!$C$7,$H357&lt;=Targets!$C$8),"Yes","No"))</f>
        <v>No</v>
      </c>
      <c r="Q357" s="66" t="str">
        <f aca="false">IF($A357="","",IF(AND($F357="Project",$E357&lt;&gt;"Closed",$E357&lt;&gt;"Dormant"),"Yes","No"))</f>
        <v>No</v>
      </c>
      <c r="R357" s="66" t="str">
        <f aca="false">IF($A357="","",IF(AND($L357="In-house",OR($E357="Intake",$E357="Active",$E357="Waiting")),"Yes","No"))</f>
        <v>No</v>
      </c>
      <c r="S357" s="66" t="str">
        <f aca="false">IF($A357="","",$C357&amp;" | "&amp;$D357)</f>
        <v>Contracts | Expired or terminated</v>
      </c>
      <c r="T357" s="66" t="str">
        <f aca="false">IF($A357="","",IF(AND($L357="Outside provider",OR($E357="Intake",$E357="Active",$E357="Waiting")),"Yes","No"))</f>
        <v>No</v>
      </c>
    </row>
    <row r="358" customFormat="false" ht="15" hidden="false" customHeight="true" outlineLevel="0" collapsed="false">
      <c r="A358" s="63" t="s">
        <v>1074</v>
      </c>
      <c r="B358" s="63" t="s">
        <v>1075</v>
      </c>
      <c r="C358" s="63" t="s">
        <v>487</v>
      </c>
      <c r="D358" s="63" t="s">
        <v>636</v>
      </c>
      <c r="E358" s="63" t="str">
        <f aca="false">IF($A358="","",IFERROR(INDEX('Status map'!$D$6:$D$64,MATCH($C358&amp;" | "&amp;$D358,'Status map'!$I$6:$I$64,0)),"Unmapped"))</f>
        <v>Active</v>
      </c>
      <c r="F358" s="63" t="s">
        <v>482</v>
      </c>
      <c r="G358" s="69" t="n">
        <v>46213</v>
      </c>
      <c r="H358" s="69"/>
      <c r="I358" s="69" t="n">
        <v>46262</v>
      </c>
      <c r="J358" s="63" t="s">
        <v>449</v>
      </c>
      <c r="K358" s="63" t="s">
        <v>461</v>
      </c>
      <c r="L358" s="63" t="s">
        <v>451</v>
      </c>
      <c r="M358" s="66" t="n">
        <f aca="false">IF(OR($A358="",$H358&lt;&gt;""),"",Targets!$C$8-$I358)</f>
        <v>3</v>
      </c>
      <c r="N358" s="66" t="str">
        <f aca="false">IF($A358="","",IF(AND($F358="Project",$E358="Active",$M358&lt;&gt;"",$M358&gt;Targets!$C$12),"Yes","No"))</f>
        <v>No</v>
      </c>
      <c r="O358" s="66" t="str">
        <f aca="false">IF($A358="","",IF(AND($G358&gt;=Targets!$C$7,$G358&lt;=Targets!$C$8),"Yes","No"))</f>
        <v>No</v>
      </c>
      <c r="P358" s="66" t="str">
        <f aca="false">IF($A358="","",IF(AND($H358&lt;&gt;"",$H358&gt;=Targets!$C$7,$H358&lt;=Targets!$C$8),"Yes","No"))</f>
        <v>No</v>
      </c>
      <c r="Q358" s="66" t="str">
        <f aca="false">IF($A358="","",IF(AND($F358="Project",$E358&lt;&gt;"Closed",$E358&lt;&gt;"Dormant"),"Yes","No"))</f>
        <v>No</v>
      </c>
      <c r="R358" s="66" t="str">
        <f aca="false">IF($A358="","",IF(AND($L358="In-house",OR($E358="Intake",$E358="Active",$E358="Waiting")),"Yes","No"))</f>
        <v>Yes</v>
      </c>
      <c r="S358" s="66" t="str">
        <f aca="false">IF($A358="","",$C358&amp;" | "&amp;$D358)</f>
        <v>Corporate and entity management | Formation, change, or dissolution in progress</v>
      </c>
      <c r="T358" s="66" t="str">
        <f aca="false">IF($A358="","",IF(AND($L358="Outside provider",OR($E358="Intake",$E358="Active",$E358="Waiting")),"Yes","No"))</f>
        <v>No</v>
      </c>
    </row>
    <row r="359" customFormat="false" ht="15" hidden="false" customHeight="true" outlineLevel="0" collapsed="false">
      <c r="A359" s="67" t="s">
        <v>1076</v>
      </c>
      <c r="B359" s="67" t="s">
        <v>678</v>
      </c>
      <c r="C359" s="67" t="s">
        <v>454</v>
      </c>
      <c r="D359" s="67" t="s">
        <v>455</v>
      </c>
      <c r="E359" s="67" t="str">
        <f aca="false">IF($A359="","",IFERROR(INDEX('Status map'!$D$6:$D$64,MATCH($C359&amp;" | "&amp;$D359,'Status map'!$I$6:$I$64,0)),"Unmapped"))</f>
        <v>Closed</v>
      </c>
      <c r="F359" s="67" t="s">
        <v>448</v>
      </c>
      <c r="G359" s="70" t="n">
        <v>46129</v>
      </c>
      <c r="H359" s="70" t="n">
        <v>46257</v>
      </c>
      <c r="I359" s="70" t="n">
        <v>46257</v>
      </c>
      <c r="J359" s="67" t="s">
        <v>450</v>
      </c>
      <c r="K359" s="67" t="s">
        <v>462</v>
      </c>
      <c r="L359" s="67" t="s">
        <v>451</v>
      </c>
      <c r="M359" s="66" t="str">
        <f aca="false">IF(OR($A359="",$H359&lt;&gt;""),"",Targets!$C$8-$I359)</f>
        <v/>
      </c>
      <c r="N359" s="66" t="str">
        <f aca="false">IF($A359="","",IF(AND($F359="Project",$E359="Active",$M359&lt;&gt;"",$M359&gt;Targets!$C$12),"Yes","No"))</f>
        <v>No</v>
      </c>
      <c r="O359" s="66" t="str">
        <f aca="false">IF($A359="","",IF(AND($G359&gt;=Targets!$C$7,$G359&lt;=Targets!$C$8),"Yes","No"))</f>
        <v>No</v>
      </c>
      <c r="P359" s="66" t="str">
        <f aca="false">IF($A359="","",IF(AND($H359&lt;&gt;"",$H359&gt;=Targets!$C$7,$H359&lt;=Targets!$C$8),"Yes","No"))</f>
        <v>Yes</v>
      </c>
      <c r="Q359" s="66" t="str">
        <f aca="false">IF($A359="","",IF(AND($F359="Project",$E359&lt;&gt;"Closed",$E359&lt;&gt;"Dormant"),"Yes","No"))</f>
        <v>No</v>
      </c>
      <c r="R359" s="66" t="str">
        <f aca="false">IF($A359="","",IF(AND($L359="In-house",OR($E359="Intake",$E359="Active",$E359="Waiting")),"Yes","No"))</f>
        <v>No</v>
      </c>
      <c r="S359" s="66" t="str">
        <f aca="false">IF($A359="","",$C359&amp;" | "&amp;$D359)</f>
        <v>Litigation | Settled, dismissed, or judgment entered</v>
      </c>
      <c r="T359" s="66" t="str">
        <f aca="false">IF($A359="","",IF(AND($L359="Outside provider",OR($E359="Intake",$E359="Active",$E359="Waiting")),"Yes","No"))</f>
        <v>No</v>
      </c>
    </row>
    <row r="360" customFormat="false" ht="15" hidden="false" customHeight="true" outlineLevel="0" collapsed="false">
      <c r="A360" s="63" t="s">
        <v>1077</v>
      </c>
      <c r="B360" s="63" t="s">
        <v>1078</v>
      </c>
      <c r="C360" s="63" t="s">
        <v>501</v>
      </c>
      <c r="D360" s="63" t="s">
        <v>531</v>
      </c>
      <c r="E360" s="63" t="str">
        <f aca="false">IF($A360="","",IFERROR(INDEX('Status map'!$D$6:$D$64,MATCH($C360&amp;" | "&amp;$D360,'Status map'!$I$6:$I$64,0)),"Unmapped"))</f>
        <v>Waiting</v>
      </c>
      <c r="F360" s="63" t="s">
        <v>448</v>
      </c>
      <c r="G360" s="69" t="n">
        <v>46257</v>
      </c>
      <c r="H360" s="69"/>
      <c r="I360" s="69" t="n">
        <v>46245</v>
      </c>
      <c r="J360" s="63" t="s">
        <v>474</v>
      </c>
      <c r="K360" s="63" t="s">
        <v>664</v>
      </c>
      <c r="L360" s="63" t="s">
        <v>496</v>
      </c>
      <c r="M360" s="66" t="n">
        <f aca="false">IF(OR($A360="",$H360&lt;&gt;""),"",Targets!$C$8-$I360)</f>
        <v>20</v>
      </c>
      <c r="N360" s="66" t="str">
        <f aca="false">IF($A360="","",IF(AND($F360="Project",$E360="Active",$M360&lt;&gt;"",$M360&gt;Targets!$C$12),"Yes","No"))</f>
        <v>No</v>
      </c>
      <c r="O360" s="66" t="str">
        <f aca="false">IF($A360="","",IF(AND($G360&gt;=Targets!$C$7,$G360&lt;=Targets!$C$8),"Yes","No"))</f>
        <v>Yes</v>
      </c>
      <c r="P360" s="66" t="str">
        <f aca="false">IF($A360="","",IF(AND($H360&lt;&gt;"",$H360&gt;=Targets!$C$7,$H360&lt;=Targets!$C$8),"Yes","No"))</f>
        <v>No</v>
      </c>
      <c r="Q360" s="66" t="str">
        <f aca="false">IF($A360="","",IF(AND($F360="Project",$E360&lt;&gt;"Closed",$E360&lt;&gt;"Dormant"),"Yes","No"))</f>
        <v>Yes</v>
      </c>
      <c r="R360" s="66" t="str">
        <f aca="false">IF($A360="","",IF(AND($L360="In-house",OR($E360="Intake",$E360="Active",$E360="Waiting")),"Yes","No"))</f>
        <v>No</v>
      </c>
      <c r="S360" s="66" t="str">
        <f aca="false">IF($A360="","",$C360&amp;" | "&amp;$D360)</f>
        <v>M&amp;A and corporate deals | Signed, awaiting regulatory approval or closing conditions</v>
      </c>
      <c r="T360" s="66" t="str">
        <f aca="false">IF($A360="","",IF(AND($L360="Outside provider",OR($E360="Intake",$E360="Active",$E360="Waiting")),"Yes","No"))</f>
        <v>Yes</v>
      </c>
    </row>
    <row r="361" customFormat="false" ht="15" hidden="false" customHeight="true" outlineLevel="0" collapsed="false">
      <c r="A361" s="67" t="s">
        <v>1079</v>
      </c>
      <c r="B361" s="67" t="s">
        <v>1080</v>
      </c>
      <c r="C361" s="67" t="s">
        <v>459</v>
      </c>
      <c r="D361" s="67" t="s">
        <v>491</v>
      </c>
      <c r="E361" s="67" t="str">
        <f aca="false">IF($A361="","",IFERROR(INDEX('Status map'!$D$6:$D$64,MATCH($C361&amp;" | "&amp;$D361,'Status map'!$I$6:$I$64,0)),"Unmapped"))</f>
        <v>Active</v>
      </c>
      <c r="F361" s="67" t="s">
        <v>510</v>
      </c>
      <c r="G361" s="70" t="n">
        <v>45106</v>
      </c>
      <c r="H361" s="70"/>
      <c r="I361" s="70" t="n">
        <v>46240</v>
      </c>
      <c r="J361" s="67" t="s">
        <v>456</v>
      </c>
      <c r="K361" s="67" t="s">
        <v>450</v>
      </c>
      <c r="L361" s="67" t="s">
        <v>451</v>
      </c>
      <c r="M361" s="66" t="n">
        <f aca="false">IF(OR($A361="",$H361&lt;&gt;""),"",Targets!$C$8-$I361)</f>
        <v>25</v>
      </c>
      <c r="N361" s="66" t="str">
        <f aca="false">IF($A361="","",IF(AND($F361="Project",$E361="Active",$M361&lt;&gt;"",$M361&gt;Targets!$C$12),"Yes","No"))</f>
        <v>No</v>
      </c>
      <c r="O361" s="66" t="str">
        <f aca="false">IF($A361="","",IF(AND($G361&gt;=Targets!$C$7,$G361&lt;=Targets!$C$8),"Yes","No"))</f>
        <v>No</v>
      </c>
      <c r="P361" s="66" t="str">
        <f aca="false">IF($A361="","",IF(AND($H361&lt;&gt;"",$H361&gt;=Targets!$C$7,$H361&lt;=Targets!$C$8),"Yes","No"))</f>
        <v>No</v>
      </c>
      <c r="Q361" s="66" t="str">
        <f aca="false">IF($A361="","",IF(AND($F361="Project",$E361&lt;&gt;"Closed",$E361&lt;&gt;"Dormant"),"Yes","No"))</f>
        <v>No</v>
      </c>
      <c r="R361" s="66" t="str">
        <f aca="false">IF($A361="","",IF(AND($L361="In-house",OR($E361="Intake",$E361="Active",$E361="Waiting")),"Yes","No"))</f>
        <v>Yes</v>
      </c>
      <c r="S361" s="66" t="str">
        <f aca="false">IF($A361="","",$C361&amp;" | "&amp;$D361)</f>
        <v>Contracts | Drafting, review, or negotiation</v>
      </c>
      <c r="T361" s="66" t="str">
        <f aca="false">IF($A361="","",IF(AND($L361="Outside provider",OR($E361="Intake",$E361="Active",$E361="Waiting")),"Yes","No"))</f>
        <v>No</v>
      </c>
    </row>
    <row r="362" customFormat="false" ht="15" hidden="false" customHeight="true" outlineLevel="0" collapsed="false">
      <c r="A362" s="63" t="s">
        <v>1081</v>
      </c>
      <c r="B362" s="63" t="s">
        <v>1082</v>
      </c>
      <c r="C362" s="63" t="s">
        <v>487</v>
      </c>
      <c r="D362" s="63" t="s">
        <v>601</v>
      </c>
      <c r="E362" s="63" t="str">
        <f aca="false">IF($A362="","",IFERROR(INDEX('Status map'!$D$6:$D$64,MATCH($C362&amp;" | "&amp;$D362,'Status map'!$I$6:$I$64,0)),"Unmapped"))</f>
        <v>Closed</v>
      </c>
      <c r="F362" s="63" t="s">
        <v>482</v>
      </c>
      <c r="G362" s="69" t="n">
        <v>46151</v>
      </c>
      <c r="H362" s="69" t="n">
        <v>46242</v>
      </c>
      <c r="I362" s="69" t="n">
        <v>46242</v>
      </c>
      <c r="J362" s="63" t="s">
        <v>470</v>
      </c>
      <c r="K362" s="63" t="s">
        <v>492</v>
      </c>
      <c r="L362" s="63" t="s">
        <v>451</v>
      </c>
      <c r="M362" s="66" t="str">
        <f aca="false">IF(OR($A362="",$H362&lt;&gt;""),"",Targets!$C$8-$I362)</f>
        <v/>
      </c>
      <c r="N362" s="66" t="str">
        <f aca="false">IF($A362="","",IF(AND($F362="Project",$E362="Active",$M362&lt;&gt;"",$M362&gt;Targets!$C$12),"Yes","No"))</f>
        <v>No</v>
      </c>
      <c r="O362" s="66" t="str">
        <f aca="false">IF($A362="","",IF(AND($G362&gt;=Targets!$C$7,$G362&lt;=Targets!$C$8),"Yes","No"))</f>
        <v>No</v>
      </c>
      <c r="P362" s="66" t="str">
        <f aca="false">IF($A362="","",IF(AND($H362&lt;&gt;"",$H362&gt;=Targets!$C$7,$H362&lt;=Targets!$C$8),"Yes","No"))</f>
        <v>Yes</v>
      </c>
      <c r="Q362" s="66" t="str">
        <f aca="false">IF($A362="","",IF(AND($F362="Project",$E362&lt;&gt;"Closed",$E362&lt;&gt;"Dormant"),"Yes","No"))</f>
        <v>No</v>
      </c>
      <c r="R362" s="66" t="str">
        <f aca="false">IF($A362="","",IF(AND($L362="In-house",OR($E362="Intake",$E362="Active",$E362="Waiting")),"Yes","No"))</f>
        <v>No</v>
      </c>
      <c r="S362" s="66" t="str">
        <f aca="false">IF($A362="","",$C362&amp;" | "&amp;$D362)</f>
        <v>Corporate and entity management | Entity dissolved</v>
      </c>
      <c r="T362" s="66" t="str">
        <f aca="false">IF($A362="","",IF(AND($L362="Outside provider",OR($E362="Intake",$E362="Active",$E362="Waiting")),"Yes","No"))</f>
        <v>No</v>
      </c>
    </row>
    <row r="363" customFormat="false" ht="15" hidden="false" customHeight="true" outlineLevel="0" collapsed="false">
      <c r="A363" s="67" t="s">
        <v>1083</v>
      </c>
      <c r="B363" s="67" t="s">
        <v>1084</v>
      </c>
      <c r="C363" s="67" t="s">
        <v>501</v>
      </c>
      <c r="D363" s="67" t="s">
        <v>531</v>
      </c>
      <c r="E363" s="67" t="str">
        <f aca="false">IF($A363="","",IFERROR(INDEX('Status map'!$D$6:$D$64,MATCH($C363&amp;" | "&amp;$D363,'Status map'!$I$6:$I$64,0)),"Unmapped"))</f>
        <v>Waiting</v>
      </c>
      <c r="F363" s="67" t="s">
        <v>448</v>
      </c>
      <c r="G363" s="70" t="n">
        <v>46230</v>
      </c>
      <c r="H363" s="70"/>
      <c r="I363" s="70" t="n">
        <v>46237</v>
      </c>
      <c r="J363" s="67" t="s">
        <v>456</v>
      </c>
      <c r="K363" s="67" t="s">
        <v>462</v>
      </c>
      <c r="L363" s="67" t="s">
        <v>451</v>
      </c>
      <c r="M363" s="66" t="n">
        <f aca="false">IF(OR($A363="",$H363&lt;&gt;""),"",Targets!$C$8-$I363)</f>
        <v>28</v>
      </c>
      <c r="N363" s="66" t="str">
        <f aca="false">IF($A363="","",IF(AND($F363="Project",$E363="Active",$M363&lt;&gt;"",$M363&gt;Targets!$C$12),"Yes","No"))</f>
        <v>No</v>
      </c>
      <c r="O363" s="66" t="str">
        <f aca="false">IF($A363="","",IF(AND($G363&gt;=Targets!$C$7,$G363&lt;=Targets!$C$8),"Yes","No"))</f>
        <v>No</v>
      </c>
      <c r="P363" s="66" t="str">
        <f aca="false">IF($A363="","",IF(AND($H363&lt;&gt;"",$H363&gt;=Targets!$C$7,$H363&lt;=Targets!$C$8),"Yes","No"))</f>
        <v>No</v>
      </c>
      <c r="Q363" s="66" t="str">
        <f aca="false">IF($A363="","",IF(AND($F363="Project",$E363&lt;&gt;"Closed",$E363&lt;&gt;"Dormant"),"Yes","No"))</f>
        <v>Yes</v>
      </c>
      <c r="R363" s="66" t="str">
        <f aca="false">IF($A363="","",IF(AND($L363="In-house",OR($E363="Intake",$E363="Active",$E363="Waiting")),"Yes","No"))</f>
        <v>Yes</v>
      </c>
      <c r="S363" s="66" t="str">
        <f aca="false">IF($A363="","",$C363&amp;" | "&amp;$D363)</f>
        <v>M&amp;A and corporate deals | Signed, awaiting regulatory approval or closing conditions</v>
      </c>
      <c r="T363" s="66" t="str">
        <f aca="false">IF($A363="","",IF(AND($L363="Outside provider",OR($E363="Intake",$E363="Active",$E363="Waiting")),"Yes","No"))</f>
        <v>No</v>
      </c>
    </row>
    <row r="364" customFormat="false" ht="15" hidden="false" customHeight="true" outlineLevel="0" collapsed="false">
      <c r="A364" s="63" t="s">
        <v>1085</v>
      </c>
      <c r="B364" s="63" t="s">
        <v>1086</v>
      </c>
      <c r="C364" s="63" t="s">
        <v>459</v>
      </c>
      <c r="D364" s="63" t="s">
        <v>579</v>
      </c>
      <c r="E364" s="63" t="str">
        <f aca="false">IF($A364="","",IFERROR(INDEX('Status map'!$D$6:$D$64,MATCH($C364&amp;" | "&amp;$D364,'Status map'!$I$6:$I$64,0)),"Unmapped"))</f>
        <v>Intake</v>
      </c>
      <c r="F364" s="63" t="s">
        <v>482</v>
      </c>
      <c r="G364" s="69" t="n">
        <v>46121</v>
      </c>
      <c r="H364" s="69"/>
      <c r="I364" s="69" t="n">
        <v>46255</v>
      </c>
      <c r="J364" s="63" t="s">
        <v>456</v>
      </c>
      <c r="K364" s="63" t="s">
        <v>456</v>
      </c>
      <c r="L364" s="63" t="s">
        <v>451</v>
      </c>
      <c r="M364" s="66" t="n">
        <f aca="false">IF(OR($A364="",$H364&lt;&gt;""),"",Targets!$C$8-$I364)</f>
        <v>10</v>
      </c>
      <c r="N364" s="66" t="str">
        <f aca="false">IF($A364="","",IF(AND($F364="Project",$E364="Active",$M364&lt;&gt;"",$M364&gt;Targets!$C$12),"Yes","No"))</f>
        <v>No</v>
      </c>
      <c r="O364" s="66" t="str">
        <f aca="false">IF($A364="","",IF(AND($G364&gt;=Targets!$C$7,$G364&lt;=Targets!$C$8),"Yes","No"))</f>
        <v>No</v>
      </c>
      <c r="P364" s="66" t="str">
        <f aca="false">IF($A364="","",IF(AND($H364&lt;&gt;"",$H364&gt;=Targets!$C$7,$H364&lt;=Targets!$C$8),"Yes","No"))</f>
        <v>No</v>
      </c>
      <c r="Q364" s="66" t="str">
        <f aca="false">IF($A364="","",IF(AND($F364="Project",$E364&lt;&gt;"Closed",$E364&lt;&gt;"Dormant"),"Yes","No"))</f>
        <v>No</v>
      </c>
      <c r="R364" s="66" t="str">
        <f aca="false">IF($A364="","",IF(AND($L364="In-house",OR($E364="Intake",$E364="Active",$E364="Waiting")),"Yes","No"))</f>
        <v>Yes</v>
      </c>
      <c r="S364" s="66" t="str">
        <f aca="false">IF($A364="","",$C364&amp;" | "&amp;$D364)</f>
        <v>Contracts | Request received, not started</v>
      </c>
      <c r="T364" s="66" t="str">
        <f aca="false">IF($A364="","",IF(AND($L364="Outside provider",OR($E364="Intake",$E364="Active",$E364="Waiting")),"Yes","No"))</f>
        <v>No</v>
      </c>
    </row>
    <row r="365" customFormat="false" ht="15" hidden="false" customHeight="true" outlineLevel="0" collapsed="false">
      <c r="A365" s="67" t="s">
        <v>1087</v>
      </c>
      <c r="B365" s="67" t="s">
        <v>1088</v>
      </c>
      <c r="C365" s="67" t="s">
        <v>501</v>
      </c>
      <c r="D365" s="67" t="s">
        <v>720</v>
      </c>
      <c r="E365" s="67" t="str">
        <f aca="false">IF($A365="","",IFERROR(INDEX('Status map'!$D$6:$D$64,MATCH($C365&amp;" | "&amp;$D365,'Status map'!$I$6:$I$64,0)),"Unmapped"))</f>
        <v>Active</v>
      </c>
      <c r="F365" s="67" t="s">
        <v>448</v>
      </c>
      <c r="G365" s="70" t="n">
        <v>46057</v>
      </c>
      <c r="H365" s="70"/>
      <c r="I365" s="70" t="n">
        <v>46252</v>
      </c>
      <c r="J365" s="67" t="s">
        <v>449</v>
      </c>
      <c r="K365" s="67" t="s">
        <v>449</v>
      </c>
      <c r="L365" s="67" t="s">
        <v>451</v>
      </c>
      <c r="M365" s="66" t="n">
        <f aca="false">IF(OR($A365="",$H365&lt;&gt;""),"",Targets!$C$8-$I365)</f>
        <v>13</v>
      </c>
      <c r="N365" s="66" t="str">
        <f aca="false">IF($A365="","",IF(AND($F365="Project",$E365="Active",$M365&lt;&gt;"",$M365&gt;Targets!$C$12),"Yes","No"))</f>
        <v>No</v>
      </c>
      <c r="O365" s="66" t="str">
        <f aca="false">IF($A365="","",IF(AND($G365&gt;=Targets!$C$7,$G365&lt;=Targets!$C$8),"Yes","No"))</f>
        <v>No</v>
      </c>
      <c r="P365" s="66" t="str">
        <f aca="false">IF($A365="","",IF(AND($H365&lt;&gt;"",$H365&gt;=Targets!$C$7,$H365&lt;=Targets!$C$8),"Yes","No"))</f>
        <v>No</v>
      </c>
      <c r="Q365" s="66" t="str">
        <f aca="false">IF($A365="","",IF(AND($F365="Project",$E365&lt;&gt;"Closed",$E365&lt;&gt;"Dormant"),"Yes","No"))</f>
        <v>Yes</v>
      </c>
      <c r="R365" s="66" t="str">
        <f aca="false">IF($A365="","",IF(AND($L365="In-house",OR($E365="Intake",$E365="Active",$E365="Waiting")),"Yes","No"))</f>
        <v>Yes</v>
      </c>
      <c r="S365" s="66" t="str">
        <f aca="false">IF($A365="","",$C365&amp;" | "&amp;$D365)</f>
        <v>M&amp;A and corporate deals | Term sheet or letter of intent under discussion</v>
      </c>
      <c r="T365" s="66" t="str">
        <f aca="false">IF($A365="","",IF(AND($L365="Outside provider",OR($E365="Intake",$E365="Active",$E365="Waiting")),"Yes","No"))</f>
        <v>No</v>
      </c>
    </row>
    <row r="366" customFormat="false" ht="15" hidden="false" customHeight="true" outlineLevel="0" collapsed="false">
      <c r="A366" s="63" t="s">
        <v>1089</v>
      </c>
      <c r="B366" s="63" t="s">
        <v>1090</v>
      </c>
      <c r="C366" s="63" t="s">
        <v>487</v>
      </c>
      <c r="D366" s="63" t="s">
        <v>548</v>
      </c>
      <c r="E366" s="63" t="str">
        <f aca="false">IF($A366="","",IFERROR(INDEX('Status map'!$D$6:$D$64,MATCH($C366&amp;" | "&amp;$D366,'Status map'!$I$6:$I$64,0)),"Unmapped"))</f>
        <v>Dormant</v>
      </c>
      <c r="F366" s="63" t="s">
        <v>510</v>
      </c>
      <c r="G366" s="69" t="n">
        <v>45130</v>
      </c>
      <c r="H366" s="69"/>
      <c r="I366" s="69" t="n">
        <v>46159</v>
      </c>
      <c r="J366" s="63" t="s">
        <v>492</v>
      </c>
      <c r="K366" s="63" t="s">
        <v>456</v>
      </c>
      <c r="L366" s="63" t="s">
        <v>451</v>
      </c>
      <c r="M366" s="66" t="n">
        <f aca="false">IF(OR($A366="",$H366&lt;&gt;""),"",Targets!$C$8-$I366)</f>
        <v>106</v>
      </c>
      <c r="N366" s="66" t="str">
        <f aca="false">IF($A366="","",IF(AND($F366="Project",$E366="Active",$M366&lt;&gt;"",$M366&gt;Targets!$C$12),"Yes","No"))</f>
        <v>No</v>
      </c>
      <c r="O366" s="66" t="str">
        <f aca="false">IF($A366="","",IF(AND($G366&gt;=Targets!$C$7,$G366&lt;=Targets!$C$8),"Yes","No"))</f>
        <v>No</v>
      </c>
      <c r="P366" s="66" t="str">
        <f aca="false">IF($A366="","",IF(AND($H366&lt;&gt;"",$H366&gt;=Targets!$C$7,$H366&lt;=Targets!$C$8),"Yes","No"))</f>
        <v>No</v>
      </c>
      <c r="Q366" s="66" t="str">
        <f aca="false">IF($A366="","",IF(AND($F366="Project",$E366&lt;&gt;"Closed",$E366&lt;&gt;"Dormant"),"Yes","No"))</f>
        <v>No</v>
      </c>
      <c r="R366" s="66" t="str">
        <f aca="false">IF($A366="","",IF(AND($L366="In-house",OR($E366="Intake",$E366="Active",$E366="Waiting")),"Yes","No"))</f>
        <v>No</v>
      </c>
      <c r="S366" s="66" t="str">
        <f aca="false">IF($A366="","",$C366&amp;" | "&amp;$D366)</f>
        <v>Corporate and entity management | Entity in good standing</v>
      </c>
      <c r="T366" s="66" t="str">
        <f aca="false">IF($A366="","",IF(AND($L366="Outside provider",OR($E366="Intake",$E366="Active",$E366="Waiting")),"Yes","No"))</f>
        <v>No</v>
      </c>
    </row>
    <row r="367" customFormat="false" ht="15" hidden="false" customHeight="true" outlineLevel="0" collapsed="false">
      <c r="A367" s="67" t="s">
        <v>1091</v>
      </c>
      <c r="B367" s="67" t="s">
        <v>1092</v>
      </c>
      <c r="C367" s="67" t="s">
        <v>501</v>
      </c>
      <c r="D367" s="67" t="s">
        <v>1093</v>
      </c>
      <c r="E367" s="67" t="str">
        <f aca="false">IF($A367="","",IFERROR(INDEX('Status map'!$D$6:$D$64,MATCH($C367&amp;" | "&amp;$D367,'Status map'!$I$6:$I$64,0)),"Unmapped"))</f>
        <v>Intake</v>
      </c>
      <c r="F367" s="67" t="s">
        <v>448</v>
      </c>
      <c r="G367" s="70" t="n">
        <v>45924</v>
      </c>
      <c r="H367" s="70"/>
      <c r="I367" s="70" t="n">
        <v>46237</v>
      </c>
      <c r="J367" s="67" t="s">
        <v>470</v>
      </c>
      <c r="K367" s="67" t="s">
        <v>449</v>
      </c>
      <c r="L367" s="67" t="s">
        <v>451</v>
      </c>
      <c r="M367" s="66" t="n">
        <f aca="false">IF(OR($A367="",$H367&lt;&gt;""),"",Targets!$C$8-$I367)</f>
        <v>28</v>
      </c>
      <c r="N367" s="66" t="str">
        <f aca="false">IF($A367="","",IF(AND($F367="Project",$E367="Active",$M367&lt;&gt;"",$M367&gt;Targets!$C$12),"Yes","No"))</f>
        <v>No</v>
      </c>
      <c r="O367" s="66" t="str">
        <f aca="false">IF($A367="","",IF(AND($G367&gt;=Targets!$C$7,$G367&lt;=Targets!$C$8),"Yes","No"))</f>
        <v>No</v>
      </c>
      <c r="P367" s="66" t="str">
        <f aca="false">IF($A367="","",IF(AND($H367&lt;&gt;"",$H367&gt;=Targets!$C$7,$H367&lt;=Targets!$C$8),"Yes","No"))</f>
        <v>No</v>
      </c>
      <c r="Q367" s="66" t="str">
        <f aca="false">IF($A367="","",IF(AND($F367="Project",$E367&lt;&gt;"Closed",$E367&lt;&gt;"Dormant"),"Yes","No"))</f>
        <v>Yes</v>
      </c>
      <c r="R367" s="66" t="str">
        <f aca="false">IF($A367="","",IF(AND($L367="In-house",OR($E367="Intake",$E367="Active",$E367="Waiting")),"Yes","No"))</f>
        <v>Yes</v>
      </c>
      <c r="S367" s="66" t="str">
        <f aca="false">IF($A367="","",$C367&amp;" | "&amp;$D367)</f>
        <v>M&amp;A and corporate deals | Opportunity logged, not yet worked</v>
      </c>
      <c r="T367" s="66" t="str">
        <f aca="false">IF($A367="","",IF(AND($L367="Outside provider",OR($E367="Intake",$E367="Active",$E367="Waiting")),"Yes","No"))</f>
        <v>No</v>
      </c>
    </row>
    <row r="368" customFormat="false" ht="15" hidden="false" customHeight="true" outlineLevel="0" collapsed="false">
      <c r="A368" s="63" t="s">
        <v>1094</v>
      </c>
      <c r="B368" s="63" t="s">
        <v>1095</v>
      </c>
      <c r="C368" s="63" t="s">
        <v>487</v>
      </c>
      <c r="D368" s="63" t="s">
        <v>636</v>
      </c>
      <c r="E368" s="63" t="str">
        <f aca="false">IF($A368="","",IFERROR(INDEX('Status map'!$D$6:$D$64,MATCH($C368&amp;" | "&amp;$D368,'Status map'!$I$6:$I$64,0)),"Unmapped"))</f>
        <v>Active</v>
      </c>
      <c r="F368" s="63" t="s">
        <v>482</v>
      </c>
      <c r="G368" s="69" t="n">
        <v>46125</v>
      </c>
      <c r="H368" s="69"/>
      <c r="I368" s="69" t="n">
        <v>46256</v>
      </c>
      <c r="J368" s="63" t="s">
        <v>470</v>
      </c>
      <c r="K368" s="63" t="s">
        <v>456</v>
      </c>
      <c r="L368" s="63" t="s">
        <v>451</v>
      </c>
      <c r="M368" s="66" t="n">
        <f aca="false">IF(OR($A368="",$H368&lt;&gt;""),"",Targets!$C$8-$I368)</f>
        <v>9</v>
      </c>
      <c r="N368" s="66" t="str">
        <f aca="false">IF($A368="","",IF(AND($F368="Project",$E368="Active",$M368&lt;&gt;"",$M368&gt;Targets!$C$12),"Yes","No"))</f>
        <v>No</v>
      </c>
      <c r="O368" s="66" t="str">
        <f aca="false">IF($A368="","",IF(AND($G368&gt;=Targets!$C$7,$G368&lt;=Targets!$C$8),"Yes","No"))</f>
        <v>No</v>
      </c>
      <c r="P368" s="66" t="str">
        <f aca="false">IF($A368="","",IF(AND($H368&lt;&gt;"",$H368&gt;=Targets!$C$7,$H368&lt;=Targets!$C$8),"Yes","No"))</f>
        <v>No</v>
      </c>
      <c r="Q368" s="66" t="str">
        <f aca="false">IF($A368="","",IF(AND($F368="Project",$E368&lt;&gt;"Closed",$E368&lt;&gt;"Dormant"),"Yes","No"))</f>
        <v>No</v>
      </c>
      <c r="R368" s="66" t="str">
        <f aca="false">IF($A368="","",IF(AND($L368="In-house",OR($E368="Intake",$E368="Active",$E368="Waiting")),"Yes","No"))</f>
        <v>Yes</v>
      </c>
      <c r="S368" s="66" t="str">
        <f aca="false">IF($A368="","",$C368&amp;" | "&amp;$D368)</f>
        <v>Corporate and entity management | Formation, change, or dissolution in progress</v>
      </c>
      <c r="T368" s="66" t="str">
        <f aca="false">IF($A368="","",IF(AND($L368="Outside provider",OR($E368="Intake",$E368="Active",$E368="Waiting")),"Yes","No"))</f>
        <v>No</v>
      </c>
    </row>
    <row r="369" customFormat="false" ht="15" hidden="false" customHeight="true" outlineLevel="0" collapsed="false">
      <c r="A369" s="67" t="s">
        <v>1096</v>
      </c>
      <c r="B369" s="67" t="s">
        <v>712</v>
      </c>
      <c r="C369" s="67" t="s">
        <v>459</v>
      </c>
      <c r="D369" s="67" t="s">
        <v>481</v>
      </c>
      <c r="E369" s="67" t="str">
        <f aca="false">IF($A369="","",IFERROR(INDEX('Status map'!$D$6:$D$64,MATCH($C369&amp;" | "&amp;$D369,'Status map'!$I$6:$I$64,0)),"Unmapped"))</f>
        <v>Closed</v>
      </c>
      <c r="F369" s="67" t="s">
        <v>482</v>
      </c>
      <c r="G369" s="70" t="n">
        <v>46066</v>
      </c>
      <c r="H369" s="70" t="n">
        <v>46210</v>
      </c>
      <c r="I369" s="70" t="n">
        <v>46210</v>
      </c>
      <c r="J369" s="67" t="s">
        <v>450</v>
      </c>
      <c r="K369" s="67" t="s">
        <v>456</v>
      </c>
      <c r="L369" s="67" t="s">
        <v>451</v>
      </c>
      <c r="M369" s="66" t="str">
        <f aca="false">IF(OR($A369="",$H369&lt;&gt;""),"",Targets!$C$8-$I369)</f>
        <v/>
      </c>
      <c r="N369" s="66" t="str">
        <f aca="false">IF($A369="","",IF(AND($F369="Project",$E369="Active",$M369&lt;&gt;"",$M369&gt;Targets!$C$12),"Yes","No"))</f>
        <v>No</v>
      </c>
      <c r="O369" s="66" t="str">
        <f aca="false">IF($A369="","",IF(AND($G369&gt;=Targets!$C$7,$G369&lt;=Targets!$C$8),"Yes","No"))</f>
        <v>No</v>
      </c>
      <c r="P369" s="66" t="str">
        <f aca="false">IF($A369="","",IF(AND($H369&lt;&gt;"",$H369&gt;=Targets!$C$7,$H369&lt;=Targets!$C$8),"Yes","No"))</f>
        <v>No</v>
      </c>
      <c r="Q369" s="66" t="str">
        <f aca="false">IF($A369="","",IF(AND($F369="Project",$E369&lt;&gt;"Closed",$E369&lt;&gt;"Dormant"),"Yes","No"))</f>
        <v>No</v>
      </c>
      <c r="R369" s="66" t="str">
        <f aca="false">IF($A369="","",IF(AND($L369="In-house",OR($E369="Intake",$E369="Active",$E369="Waiting")),"Yes","No"))</f>
        <v>No</v>
      </c>
      <c r="S369" s="66" t="str">
        <f aca="false">IF($A369="","",$C369&amp;" | "&amp;$D369)</f>
        <v>Contracts | Expired or terminated</v>
      </c>
      <c r="T369" s="66" t="str">
        <f aca="false">IF($A369="","",IF(AND($L369="Outside provider",OR($E369="Intake",$E369="Active",$E369="Waiting")),"Yes","No"))</f>
        <v>No</v>
      </c>
    </row>
    <row r="370" customFormat="false" ht="15" hidden="false" customHeight="true" outlineLevel="0" collapsed="false">
      <c r="A370" s="63" t="s">
        <v>1097</v>
      </c>
      <c r="B370" s="63" t="s">
        <v>1098</v>
      </c>
      <c r="C370" s="63" t="s">
        <v>446</v>
      </c>
      <c r="D370" s="63" t="s">
        <v>545</v>
      </c>
      <c r="E370" s="63" t="str">
        <f aca="false">IF($A370="","",IFERROR(INDEX('Status map'!$D$6:$D$64,MATCH($C370&amp;" | "&amp;$D370,'Status map'!$I$6:$I$64,0)),"Unmapped"))</f>
        <v>Active</v>
      </c>
      <c r="F370" s="63" t="s">
        <v>448</v>
      </c>
      <c r="G370" s="69" t="n">
        <v>46257</v>
      </c>
      <c r="H370" s="69"/>
      <c r="I370" s="69" t="n">
        <v>46242</v>
      </c>
      <c r="J370" s="63" t="s">
        <v>492</v>
      </c>
      <c r="K370" s="63" t="s">
        <v>664</v>
      </c>
      <c r="L370" s="63" t="s">
        <v>496</v>
      </c>
      <c r="M370" s="66" t="n">
        <f aca="false">IF(OR($A370="",$H370&lt;&gt;""),"",Targets!$C$8-$I370)</f>
        <v>23</v>
      </c>
      <c r="N370" s="66" t="str">
        <f aca="false">IF($A370="","",IF(AND($F370="Project",$E370="Active",$M370&lt;&gt;"",$M370&gt;Targets!$C$12),"Yes","No"))</f>
        <v>No</v>
      </c>
      <c r="O370" s="66" t="str">
        <f aca="false">IF($A370="","",IF(AND($G370&gt;=Targets!$C$7,$G370&lt;=Targets!$C$8),"Yes","No"))</f>
        <v>Yes</v>
      </c>
      <c r="P370" s="66" t="str">
        <f aca="false">IF($A370="","",IF(AND($H370&lt;&gt;"",$H370&gt;=Targets!$C$7,$H370&lt;=Targets!$C$8),"Yes","No"))</f>
        <v>No</v>
      </c>
      <c r="Q370" s="66" t="str">
        <f aca="false">IF($A370="","",IF(AND($F370="Project",$E370&lt;&gt;"Closed",$E370&lt;&gt;"Dormant"),"Yes","No"))</f>
        <v>Yes</v>
      </c>
      <c r="R370" s="66" t="str">
        <f aca="false">IF($A370="","",IF(AND($L370="In-house",OR($E370="Intake",$E370="Active",$E370="Waiting")),"Yes","No"))</f>
        <v>No</v>
      </c>
      <c r="S370" s="66" t="str">
        <f aca="false">IF($A370="","",$C370&amp;" | "&amp;$D370)</f>
        <v>Employment | Investigation underway</v>
      </c>
      <c r="T370" s="66" t="str">
        <f aca="false">IF($A370="","",IF(AND($L370="Outside provider",OR($E370="Intake",$E370="Active",$E370="Waiting")),"Yes","No"))</f>
        <v>Yes</v>
      </c>
    </row>
    <row r="371" customFormat="false" ht="15" hidden="false" customHeight="true" outlineLevel="0" collapsed="false">
      <c r="A371" s="67" t="s">
        <v>1099</v>
      </c>
      <c r="B371" s="67" t="s">
        <v>472</v>
      </c>
      <c r="C371" s="67" t="s">
        <v>446</v>
      </c>
      <c r="D371" s="67" t="s">
        <v>545</v>
      </c>
      <c r="E371" s="67" t="str">
        <f aca="false">IF($A371="","",IFERROR(INDEX('Status map'!$D$6:$D$64,MATCH($C371&amp;" | "&amp;$D371,'Status map'!$I$6:$I$64,0)),"Unmapped"))</f>
        <v>Active</v>
      </c>
      <c r="F371" s="67" t="s">
        <v>448</v>
      </c>
      <c r="G371" s="70" t="n">
        <v>45928</v>
      </c>
      <c r="H371" s="70"/>
      <c r="I371" s="70" t="n">
        <v>46247</v>
      </c>
      <c r="J371" s="67" t="s">
        <v>456</v>
      </c>
      <c r="K371" s="67" t="s">
        <v>461</v>
      </c>
      <c r="L371" s="67" t="s">
        <v>451</v>
      </c>
      <c r="M371" s="66" t="n">
        <f aca="false">IF(OR($A371="",$H371&lt;&gt;""),"",Targets!$C$8-$I371)</f>
        <v>18</v>
      </c>
      <c r="N371" s="66" t="str">
        <f aca="false">IF($A371="","",IF(AND($F371="Project",$E371="Active",$M371&lt;&gt;"",$M371&gt;Targets!$C$12),"Yes","No"))</f>
        <v>No</v>
      </c>
      <c r="O371" s="66" t="str">
        <f aca="false">IF($A371="","",IF(AND($G371&gt;=Targets!$C$7,$G371&lt;=Targets!$C$8),"Yes","No"))</f>
        <v>No</v>
      </c>
      <c r="P371" s="66" t="str">
        <f aca="false">IF($A371="","",IF(AND($H371&lt;&gt;"",$H371&gt;=Targets!$C$7,$H371&lt;=Targets!$C$8),"Yes","No"))</f>
        <v>No</v>
      </c>
      <c r="Q371" s="66" t="str">
        <f aca="false">IF($A371="","",IF(AND($F371="Project",$E371&lt;&gt;"Closed",$E371&lt;&gt;"Dormant"),"Yes","No"))</f>
        <v>Yes</v>
      </c>
      <c r="R371" s="66" t="str">
        <f aca="false">IF($A371="","",IF(AND($L371="In-house",OR($E371="Intake",$E371="Active",$E371="Waiting")),"Yes","No"))</f>
        <v>Yes</v>
      </c>
      <c r="S371" s="66" t="str">
        <f aca="false">IF($A371="","",$C371&amp;" | "&amp;$D371)</f>
        <v>Employment | Investigation underway</v>
      </c>
      <c r="T371" s="66" t="str">
        <f aca="false">IF($A371="","",IF(AND($L371="Outside provider",OR($E371="Intake",$E371="Active",$E371="Waiting")),"Yes","No"))</f>
        <v>No</v>
      </c>
    </row>
    <row r="372" customFormat="false" ht="15" hidden="false" customHeight="true" outlineLevel="0" collapsed="false">
      <c r="A372" s="63" t="s">
        <v>1100</v>
      </c>
      <c r="B372" s="63" t="s">
        <v>829</v>
      </c>
      <c r="C372" s="63" t="s">
        <v>501</v>
      </c>
      <c r="D372" s="63" t="s">
        <v>720</v>
      </c>
      <c r="E372" s="63" t="str">
        <f aca="false">IF($A372="","",IFERROR(INDEX('Status map'!$D$6:$D$64,MATCH($C372&amp;" | "&amp;$D372,'Status map'!$I$6:$I$64,0)),"Unmapped"))</f>
        <v>Active</v>
      </c>
      <c r="F372" s="63" t="s">
        <v>448</v>
      </c>
      <c r="G372" s="69" t="n">
        <v>45940</v>
      </c>
      <c r="H372" s="69"/>
      <c r="I372" s="69" t="n">
        <v>46241</v>
      </c>
      <c r="J372" s="63" t="s">
        <v>462</v>
      </c>
      <c r="K372" s="63" t="s">
        <v>449</v>
      </c>
      <c r="L372" s="63" t="s">
        <v>451</v>
      </c>
      <c r="M372" s="66" t="n">
        <f aca="false">IF(OR($A372="",$H372&lt;&gt;""),"",Targets!$C$8-$I372)</f>
        <v>24</v>
      </c>
      <c r="N372" s="66" t="str">
        <f aca="false">IF($A372="","",IF(AND($F372="Project",$E372="Active",$M372&lt;&gt;"",$M372&gt;Targets!$C$12),"Yes","No"))</f>
        <v>No</v>
      </c>
      <c r="O372" s="66" t="str">
        <f aca="false">IF($A372="","",IF(AND($G372&gt;=Targets!$C$7,$G372&lt;=Targets!$C$8),"Yes","No"))</f>
        <v>No</v>
      </c>
      <c r="P372" s="66" t="str">
        <f aca="false">IF($A372="","",IF(AND($H372&lt;&gt;"",$H372&gt;=Targets!$C$7,$H372&lt;=Targets!$C$8),"Yes","No"))</f>
        <v>No</v>
      </c>
      <c r="Q372" s="66" t="str">
        <f aca="false">IF($A372="","",IF(AND($F372="Project",$E372&lt;&gt;"Closed",$E372&lt;&gt;"Dormant"),"Yes","No"))</f>
        <v>Yes</v>
      </c>
      <c r="R372" s="66" t="str">
        <f aca="false">IF($A372="","",IF(AND($L372="In-house",OR($E372="Intake",$E372="Active",$E372="Waiting")),"Yes","No"))</f>
        <v>Yes</v>
      </c>
      <c r="S372" s="66" t="str">
        <f aca="false">IF($A372="","",$C372&amp;" | "&amp;$D372)</f>
        <v>M&amp;A and corporate deals | Term sheet or letter of intent under discussion</v>
      </c>
      <c r="T372" s="66" t="str">
        <f aca="false">IF($A372="","",IF(AND($L372="Outside provider",OR($E372="Intake",$E372="Active",$E372="Waiting")),"Yes","No"))</f>
        <v>No</v>
      </c>
    </row>
    <row r="373" customFormat="false" ht="15" hidden="false" customHeight="true" outlineLevel="0" collapsed="false">
      <c r="A373" s="67" t="s">
        <v>1101</v>
      </c>
      <c r="B373" s="67" t="s">
        <v>1102</v>
      </c>
      <c r="C373" s="67" t="s">
        <v>501</v>
      </c>
      <c r="D373" s="67" t="s">
        <v>683</v>
      </c>
      <c r="E373" s="67" t="str">
        <f aca="false">IF($A373="","",IFERROR(INDEX('Status map'!$D$6:$D$64,MATCH($C373&amp;" | "&amp;$D373,'Status map'!$I$6:$I$64,0)),"Unmapped"))</f>
        <v>Active</v>
      </c>
      <c r="F373" s="67" t="s">
        <v>448</v>
      </c>
      <c r="G373" s="70" t="n">
        <v>46031</v>
      </c>
      <c r="H373" s="70"/>
      <c r="I373" s="70" t="n">
        <v>46264</v>
      </c>
      <c r="J373" s="67" t="s">
        <v>470</v>
      </c>
      <c r="K373" s="67" t="s">
        <v>470</v>
      </c>
      <c r="L373" s="67" t="s">
        <v>451</v>
      </c>
      <c r="M373" s="66" t="n">
        <f aca="false">IF(OR($A373="",$H373&lt;&gt;""),"",Targets!$C$8-$I373)</f>
        <v>1</v>
      </c>
      <c r="N373" s="66" t="str">
        <f aca="false">IF($A373="","",IF(AND($F373="Project",$E373="Active",$M373&lt;&gt;"",$M373&gt;Targets!$C$12),"Yes","No"))</f>
        <v>No</v>
      </c>
      <c r="O373" s="66" t="str">
        <f aca="false">IF($A373="","",IF(AND($G373&gt;=Targets!$C$7,$G373&lt;=Targets!$C$8),"Yes","No"))</f>
        <v>No</v>
      </c>
      <c r="P373" s="66" t="str">
        <f aca="false">IF($A373="","",IF(AND($H373&lt;&gt;"",$H373&gt;=Targets!$C$7,$H373&lt;=Targets!$C$8),"Yes","No"))</f>
        <v>No</v>
      </c>
      <c r="Q373" s="66" t="str">
        <f aca="false">IF($A373="","",IF(AND($F373="Project",$E373&lt;&gt;"Closed",$E373&lt;&gt;"Dormant"),"Yes","No"))</f>
        <v>Yes</v>
      </c>
      <c r="R373" s="66" t="str">
        <f aca="false">IF($A373="","",IF(AND($L373="In-house",OR($E373="Intake",$E373="Active",$E373="Waiting")),"Yes","No"))</f>
        <v>Yes</v>
      </c>
      <c r="S373" s="66" t="str">
        <f aca="false">IF($A373="","",$C373&amp;" | "&amp;$D373)</f>
        <v>M&amp;A and corporate deals | Due diligence and negotiation underway</v>
      </c>
      <c r="T373" s="66" t="str">
        <f aca="false">IF($A373="","",IF(AND($L373="Outside provider",OR($E373="Intake",$E373="Active",$E373="Waiting")),"Yes","No"))</f>
        <v>No</v>
      </c>
    </row>
    <row r="374" customFormat="false" ht="15" hidden="false" customHeight="true" outlineLevel="0" collapsed="false">
      <c r="A374" s="63" t="s">
        <v>1103</v>
      </c>
      <c r="B374" s="63" t="s">
        <v>984</v>
      </c>
      <c r="C374" s="63" t="s">
        <v>647</v>
      </c>
      <c r="D374" s="63" t="s">
        <v>648</v>
      </c>
      <c r="E374" s="63" t="str">
        <f aca="false">IF($A374="","",IFERROR(INDEX('Status map'!$D$6:$D$64,MATCH($C374&amp;" | "&amp;$D374,'Status map'!$I$6:$I$64,0)),"Unmapped"))</f>
        <v>Dormant</v>
      </c>
      <c r="F374" s="63" t="s">
        <v>510</v>
      </c>
      <c r="G374" s="69" t="n">
        <v>44791</v>
      </c>
      <c r="H374" s="69"/>
      <c r="I374" s="69" t="n">
        <v>46235</v>
      </c>
      <c r="J374" s="63" t="s">
        <v>492</v>
      </c>
      <c r="K374" s="63" t="s">
        <v>449</v>
      </c>
      <c r="L374" s="63" t="s">
        <v>451</v>
      </c>
      <c r="M374" s="66" t="n">
        <f aca="false">IF(OR($A374="",$H374&lt;&gt;""),"",Targets!$C$8-$I374)</f>
        <v>30</v>
      </c>
      <c r="N374" s="66" t="str">
        <f aca="false">IF($A374="","",IF(AND($F374="Project",$E374="Active",$M374&lt;&gt;"",$M374&gt;Targets!$C$12),"Yes","No"))</f>
        <v>No</v>
      </c>
      <c r="O374" s="66" t="str">
        <f aca="false">IF($A374="","",IF(AND($G374&gt;=Targets!$C$7,$G374&lt;=Targets!$C$8),"Yes","No"))</f>
        <v>No</v>
      </c>
      <c r="P374" s="66" t="str">
        <f aca="false">IF($A374="","",IF(AND($H374&lt;&gt;"",$H374&gt;=Targets!$C$7,$H374&lt;=Targets!$C$8),"Yes","No"))</f>
        <v>No</v>
      </c>
      <c r="Q374" s="66" t="str">
        <f aca="false">IF($A374="","",IF(AND($F374="Project",$E374&lt;&gt;"Closed",$E374&lt;&gt;"Dormant"),"Yes","No"))</f>
        <v>No</v>
      </c>
      <c r="R374" s="66" t="str">
        <f aca="false">IF($A374="","",IF(AND($L374="In-house",OR($E374="Intake",$E374="Active",$E374="Waiting")),"Yes","No"))</f>
        <v>No</v>
      </c>
      <c r="S374" s="66" t="str">
        <f aca="false">IF($A374="","",$C374&amp;" | "&amp;$D374)</f>
        <v>IP: patents and trademarks | Issued or registered, in maintenance</v>
      </c>
      <c r="T374" s="66" t="str">
        <f aca="false">IF($A374="","",IF(AND($L374="Outside provider",OR($E374="Intake",$E374="Active",$E374="Waiting")),"Yes","No"))</f>
        <v>No</v>
      </c>
    </row>
    <row r="375" customFormat="false" ht="15" hidden="false" customHeight="true" outlineLevel="0" collapsed="false">
      <c r="A375" s="67" t="s">
        <v>1104</v>
      </c>
      <c r="B375" s="67" t="s">
        <v>1105</v>
      </c>
      <c r="C375" s="67" t="s">
        <v>459</v>
      </c>
      <c r="D375" s="67" t="s">
        <v>491</v>
      </c>
      <c r="E375" s="67" t="str">
        <f aca="false">IF($A375="","",IFERROR(INDEX('Status map'!$D$6:$D$64,MATCH($C375&amp;" | "&amp;$D375,'Status map'!$I$6:$I$64,0)),"Unmapped"))</f>
        <v>Active</v>
      </c>
      <c r="F375" s="67" t="s">
        <v>482</v>
      </c>
      <c r="G375" s="70" t="n">
        <v>46098</v>
      </c>
      <c r="H375" s="70"/>
      <c r="I375" s="70" t="n">
        <v>46261</v>
      </c>
      <c r="J375" s="67" t="s">
        <v>450</v>
      </c>
      <c r="K375" s="67" t="s">
        <v>461</v>
      </c>
      <c r="L375" s="67" t="s">
        <v>451</v>
      </c>
      <c r="M375" s="66" t="n">
        <f aca="false">IF(OR($A375="",$H375&lt;&gt;""),"",Targets!$C$8-$I375)</f>
        <v>4</v>
      </c>
      <c r="N375" s="66" t="str">
        <f aca="false">IF($A375="","",IF(AND($F375="Project",$E375="Active",$M375&lt;&gt;"",$M375&gt;Targets!$C$12),"Yes","No"))</f>
        <v>No</v>
      </c>
      <c r="O375" s="66" t="str">
        <f aca="false">IF($A375="","",IF(AND($G375&gt;=Targets!$C$7,$G375&lt;=Targets!$C$8),"Yes","No"))</f>
        <v>No</v>
      </c>
      <c r="P375" s="66" t="str">
        <f aca="false">IF($A375="","",IF(AND($H375&lt;&gt;"",$H375&gt;=Targets!$C$7,$H375&lt;=Targets!$C$8),"Yes","No"))</f>
        <v>No</v>
      </c>
      <c r="Q375" s="66" t="str">
        <f aca="false">IF($A375="","",IF(AND($F375="Project",$E375&lt;&gt;"Closed",$E375&lt;&gt;"Dormant"),"Yes","No"))</f>
        <v>No</v>
      </c>
      <c r="R375" s="66" t="str">
        <f aca="false">IF($A375="","",IF(AND($L375="In-house",OR($E375="Intake",$E375="Active",$E375="Waiting")),"Yes","No"))</f>
        <v>Yes</v>
      </c>
      <c r="S375" s="66" t="str">
        <f aca="false">IF($A375="","",$C375&amp;" | "&amp;$D375)</f>
        <v>Contracts | Drafting, review, or negotiation</v>
      </c>
      <c r="T375" s="66" t="str">
        <f aca="false">IF($A375="","",IF(AND($L375="Outside provider",OR($E375="Intake",$E375="Active",$E375="Waiting")),"Yes","No"))</f>
        <v>No</v>
      </c>
    </row>
    <row r="376" customFormat="false" ht="15" hidden="false" customHeight="true" outlineLevel="0" collapsed="false">
      <c r="A376" s="63" t="s">
        <v>1106</v>
      </c>
      <c r="B376" s="63" t="s">
        <v>1107</v>
      </c>
      <c r="C376" s="63" t="s">
        <v>454</v>
      </c>
      <c r="D376" s="63" t="s">
        <v>455</v>
      </c>
      <c r="E376" s="63" t="str">
        <f aca="false">IF($A376="","",IFERROR(INDEX('Status map'!$D$6:$D$64,MATCH($C376&amp;" | "&amp;$D376,'Status map'!$I$6:$I$64,0)),"Unmapped"))</f>
        <v>Closed</v>
      </c>
      <c r="F376" s="63" t="s">
        <v>448</v>
      </c>
      <c r="G376" s="69" t="n">
        <v>46191</v>
      </c>
      <c r="H376" s="69" t="n">
        <v>46244</v>
      </c>
      <c r="I376" s="69" t="n">
        <v>46244</v>
      </c>
      <c r="J376" s="63" t="s">
        <v>492</v>
      </c>
      <c r="K376" s="63" t="s">
        <v>470</v>
      </c>
      <c r="L376" s="63" t="s">
        <v>451</v>
      </c>
      <c r="M376" s="66" t="str">
        <f aca="false">IF(OR($A376="",$H376&lt;&gt;""),"",Targets!$C$8-$I376)</f>
        <v/>
      </c>
      <c r="N376" s="66" t="str">
        <f aca="false">IF($A376="","",IF(AND($F376="Project",$E376="Active",$M376&lt;&gt;"",$M376&gt;Targets!$C$12),"Yes","No"))</f>
        <v>No</v>
      </c>
      <c r="O376" s="66" t="str">
        <f aca="false">IF($A376="","",IF(AND($G376&gt;=Targets!$C$7,$G376&lt;=Targets!$C$8),"Yes","No"))</f>
        <v>No</v>
      </c>
      <c r="P376" s="66" t="str">
        <f aca="false">IF($A376="","",IF(AND($H376&lt;&gt;"",$H376&gt;=Targets!$C$7,$H376&lt;=Targets!$C$8),"Yes","No"))</f>
        <v>Yes</v>
      </c>
      <c r="Q376" s="66" t="str">
        <f aca="false">IF($A376="","",IF(AND($F376="Project",$E376&lt;&gt;"Closed",$E376&lt;&gt;"Dormant"),"Yes","No"))</f>
        <v>No</v>
      </c>
      <c r="R376" s="66" t="str">
        <f aca="false">IF($A376="","",IF(AND($L376="In-house",OR($E376="Intake",$E376="Active",$E376="Waiting")),"Yes","No"))</f>
        <v>No</v>
      </c>
      <c r="S376" s="66" t="str">
        <f aca="false">IF($A376="","",$C376&amp;" | "&amp;$D376)</f>
        <v>Litigation | Settled, dismissed, or judgment entered</v>
      </c>
      <c r="T376" s="66" t="str">
        <f aca="false">IF($A376="","",IF(AND($L376="Outside provider",OR($E376="Intake",$E376="Active",$E376="Waiting")),"Yes","No"))</f>
        <v>No</v>
      </c>
    </row>
    <row r="377" customFormat="false" ht="15" hidden="false" customHeight="true" outlineLevel="0" collapsed="false">
      <c r="A377" s="67" t="s">
        <v>1108</v>
      </c>
      <c r="B377" s="67" t="s">
        <v>1109</v>
      </c>
      <c r="C377" s="67" t="s">
        <v>647</v>
      </c>
      <c r="D377" s="67" t="s">
        <v>1110</v>
      </c>
      <c r="E377" s="67" t="str">
        <f aca="false">IF($A377="","",IFERROR(INDEX('Status map'!$D$6:$D$64,MATCH($C377&amp;" | "&amp;$D377,'Status map'!$I$6:$I$64,0)),"Unmapped"))</f>
        <v>Active</v>
      </c>
      <c r="F377" s="67" t="s">
        <v>510</v>
      </c>
      <c r="G377" s="70" t="n">
        <v>44090</v>
      </c>
      <c r="H377" s="70"/>
      <c r="I377" s="70" t="n">
        <v>46265</v>
      </c>
      <c r="J377" s="67" t="s">
        <v>474</v>
      </c>
      <c r="K377" s="67" t="s">
        <v>450</v>
      </c>
      <c r="L377" s="67" t="s">
        <v>451</v>
      </c>
      <c r="M377" s="66" t="n">
        <f aca="false">IF(OR($A377="",$H377&lt;&gt;""),"",Targets!$C$8-$I377)</f>
        <v>0</v>
      </c>
      <c r="N377" s="66" t="str">
        <f aca="false">IF($A377="","",IF(AND($F377="Project",$E377="Active",$M377&lt;&gt;"",$M377&gt;Targets!$C$12),"Yes","No"))</f>
        <v>No</v>
      </c>
      <c r="O377" s="66" t="str">
        <f aca="false">IF($A377="","",IF(AND($G377&gt;=Targets!$C$7,$G377&lt;=Targets!$C$8),"Yes","No"))</f>
        <v>No</v>
      </c>
      <c r="P377" s="66" t="str">
        <f aca="false">IF($A377="","",IF(AND($H377&lt;&gt;"",$H377&gt;=Targets!$C$7,$H377&lt;=Targets!$C$8),"Yes","No"))</f>
        <v>No</v>
      </c>
      <c r="Q377" s="66" t="str">
        <f aca="false">IF($A377="","",IF(AND($F377="Project",$E377&lt;&gt;"Closed",$E377&lt;&gt;"Dormant"),"Yes","No"))</f>
        <v>No</v>
      </c>
      <c r="R377" s="66" t="str">
        <f aca="false">IF($A377="","",IF(AND($L377="In-house",OR($E377="Intake",$E377="Active",$E377="Waiting")),"Yes","No"))</f>
        <v>Yes</v>
      </c>
      <c r="S377" s="66" t="str">
        <f aca="false">IF($A377="","",$C377&amp;" | "&amp;$D377)</f>
        <v>IP: patents and trademarks | A filing or response being prepared</v>
      </c>
      <c r="T377" s="66" t="str">
        <f aca="false">IF($A377="","",IF(AND($L377="Outside provider",OR($E377="Intake",$E377="Active",$E377="Waiting")),"Yes","No"))</f>
        <v>No</v>
      </c>
    </row>
    <row r="378" customFormat="false" ht="15" hidden="false" customHeight="true" outlineLevel="0" collapsed="false">
      <c r="A378" s="63" t="s">
        <v>1111</v>
      </c>
      <c r="B378" s="63" t="s">
        <v>578</v>
      </c>
      <c r="C378" s="63" t="s">
        <v>459</v>
      </c>
      <c r="D378" s="63" t="s">
        <v>491</v>
      </c>
      <c r="E378" s="63" t="str">
        <f aca="false">IF($A378="","",IFERROR(INDEX('Status map'!$D$6:$D$64,MATCH($C378&amp;" | "&amp;$D378,'Status map'!$I$6:$I$64,0)),"Unmapped"))</f>
        <v>Active</v>
      </c>
      <c r="F378" s="63" t="s">
        <v>448</v>
      </c>
      <c r="G378" s="69" t="n">
        <v>45993</v>
      </c>
      <c r="H378" s="69"/>
      <c r="I378" s="69" t="n">
        <v>46245</v>
      </c>
      <c r="J378" s="63" t="s">
        <v>462</v>
      </c>
      <c r="K378" s="63" t="s">
        <v>449</v>
      </c>
      <c r="L378" s="63" t="s">
        <v>451</v>
      </c>
      <c r="M378" s="66" t="n">
        <f aca="false">IF(OR($A378="",$H378&lt;&gt;""),"",Targets!$C$8-$I378)</f>
        <v>20</v>
      </c>
      <c r="N378" s="66" t="str">
        <f aca="false">IF($A378="","",IF(AND($F378="Project",$E378="Active",$M378&lt;&gt;"",$M378&gt;Targets!$C$12),"Yes","No"))</f>
        <v>No</v>
      </c>
      <c r="O378" s="66" t="str">
        <f aca="false">IF($A378="","",IF(AND($G378&gt;=Targets!$C$7,$G378&lt;=Targets!$C$8),"Yes","No"))</f>
        <v>No</v>
      </c>
      <c r="P378" s="66" t="str">
        <f aca="false">IF($A378="","",IF(AND($H378&lt;&gt;"",$H378&gt;=Targets!$C$7,$H378&lt;=Targets!$C$8),"Yes","No"))</f>
        <v>No</v>
      </c>
      <c r="Q378" s="66" t="str">
        <f aca="false">IF($A378="","",IF(AND($F378="Project",$E378&lt;&gt;"Closed",$E378&lt;&gt;"Dormant"),"Yes","No"))</f>
        <v>Yes</v>
      </c>
      <c r="R378" s="66" t="str">
        <f aca="false">IF($A378="","",IF(AND($L378="In-house",OR($E378="Intake",$E378="Active",$E378="Waiting")),"Yes","No"))</f>
        <v>Yes</v>
      </c>
      <c r="S378" s="66" t="str">
        <f aca="false">IF($A378="","",$C378&amp;" | "&amp;$D378)</f>
        <v>Contracts | Drafting, review, or negotiation</v>
      </c>
      <c r="T378" s="66" t="str">
        <f aca="false">IF($A378="","",IF(AND($L378="Outside provider",OR($E378="Intake",$E378="Active",$E378="Waiting")),"Yes","No"))</f>
        <v>No</v>
      </c>
    </row>
    <row r="379" customFormat="false" ht="15" hidden="false" customHeight="true" outlineLevel="0" collapsed="false">
      <c r="A379" s="67" t="s">
        <v>1112</v>
      </c>
      <c r="B379" s="67" t="s">
        <v>1113</v>
      </c>
      <c r="C379" s="67" t="s">
        <v>487</v>
      </c>
      <c r="D379" s="67" t="s">
        <v>548</v>
      </c>
      <c r="E379" s="67" t="str">
        <f aca="false">IF($A379="","",IFERROR(INDEX('Status map'!$D$6:$D$64,MATCH($C379&amp;" | "&amp;$D379,'Status map'!$I$6:$I$64,0)),"Unmapped"))</f>
        <v>Dormant</v>
      </c>
      <c r="F379" s="67" t="s">
        <v>510</v>
      </c>
      <c r="G379" s="70" t="n">
        <v>46250</v>
      </c>
      <c r="H379" s="70"/>
      <c r="I379" s="70" t="n">
        <v>46105</v>
      </c>
      <c r="J379" s="67" t="s">
        <v>492</v>
      </c>
      <c r="K379" s="67" t="s">
        <v>474</v>
      </c>
      <c r="L379" s="67" t="s">
        <v>451</v>
      </c>
      <c r="M379" s="66" t="n">
        <f aca="false">IF(OR($A379="",$H379&lt;&gt;""),"",Targets!$C$8-$I379)</f>
        <v>160</v>
      </c>
      <c r="N379" s="66" t="str">
        <f aca="false">IF($A379="","",IF(AND($F379="Project",$E379="Active",$M379&lt;&gt;"",$M379&gt;Targets!$C$12),"Yes","No"))</f>
        <v>No</v>
      </c>
      <c r="O379" s="66" t="str">
        <f aca="false">IF($A379="","",IF(AND($G379&gt;=Targets!$C$7,$G379&lt;=Targets!$C$8),"Yes","No"))</f>
        <v>Yes</v>
      </c>
      <c r="P379" s="66" t="str">
        <f aca="false">IF($A379="","",IF(AND($H379&lt;&gt;"",$H379&gt;=Targets!$C$7,$H379&lt;=Targets!$C$8),"Yes","No"))</f>
        <v>No</v>
      </c>
      <c r="Q379" s="66" t="str">
        <f aca="false">IF($A379="","",IF(AND($F379="Project",$E379&lt;&gt;"Closed",$E379&lt;&gt;"Dormant"),"Yes","No"))</f>
        <v>No</v>
      </c>
      <c r="R379" s="66" t="str">
        <f aca="false">IF($A379="","",IF(AND($L379="In-house",OR($E379="Intake",$E379="Active",$E379="Waiting")),"Yes","No"))</f>
        <v>No</v>
      </c>
      <c r="S379" s="66" t="str">
        <f aca="false">IF($A379="","",$C379&amp;" | "&amp;$D379)</f>
        <v>Corporate and entity management | Entity in good standing</v>
      </c>
      <c r="T379" s="66" t="str">
        <f aca="false">IF($A379="","",IF(AND($L379="Outside provider",OR($E379="Intake",$E379="Active",$E379="Waiting")),"Yes","No"))</f>
        <v>No</v>
      </c>
    </row>
    <row r="380" customFormat="false" ht="15" hidden="false" customHeight="true" outlineLevel="0" collapsed="false">
      <c r="A380" s="63" t="s">
        <v>1114</v>
      </c>
      <c r="B380" s="63" t="s">
        <v>1115</v>
      </c>
      <c r="C380" s="63" t="s">
        <v>446</v>
      </c>
      <c r="D380" s="63" t="s">
        <v>545</v>
      </c>
      <c r="E380" s="63" t="str">
        <f aca="false">IF($A380="","",IFERROR(INDEX('Status map'!$D$6:$D$64,MATCH($C380&amp;" | "&amp;$D380,'Status map'!$I$6:$I$64,0)),"Unmapped"))</f>
        <v>Active</v>
      </c>
      <c r="F380" s="63" t="s">
        <v>482</v>
      </c>
      <c r="G380" s="69" t="n">
        <v>46078</v>
      </c>
      <c r="H380" s="69"/>
      <c r="I380" s="69" t="n">
        <v>46262</v>
      </c>
      <c r="J380" s="63" t="s">
        <v>462</v>
      </c>
      <c r="K380" s="63" t="s">
        <v>456</v>
      </c>
      <c r="L380" s="63" t="s">
        <v>451</v>
      </c>
      <c r="M380" s="66" t="n">
        <f aca="false">IF(OR($A380="",$H380&lt;&gt;""),"",Targets!$C$8-$I380)</f>
        <v>3</v>
      </c>
      <c r="N380" s="66" t="str">
        <f aca="false">IF($A380="","",IF(AND($F380="Project",$E380="Active",$M380&lt;&gt;"",$M380&gt;Targets!$C$12),"Yes","No"))</f>
        <v>No</v>
      </c>
      <c r="O380" s="66" t="str">
        <f aca="false">IF($A380="","",IF(AND($G380&gt;=Targets!$C$7,$G380&lt;=Targets!$C$8),"Yes","No"))</f>
        <v>No</v>
      </c>
      <c r="P380" s="66" t="str">
        <f aca="false">IF($A380="","",IF(AND($H380&lt;&gt;"",$H380&gt;=Targets!$C$7,$H380&lt;=Targets!$C$8),"Yes","No"))</f>
        <v>No</v>
      </c>
      <c r="Q380" s="66" t="str">
        <f aca="false">IF($A380="","",IF(AND($F380="Project",$E380&lt;&gt;"Closed",$E380&lt;&gt;"Dormant"),"Yes","No"))</f>
        <v>No</v>
      </c>
      <c r="R380" s="66" t="str">
        <f aca="false">IF($A380="","",IF(AND($L380="In-house",OR($E380="Intake",$E380="Active",$E380="Waiting")),"Yes","No"))</f>
        <v>Yes</v>
      </c>
      <c r="S380" s="66" t="str">
        <f aca="false">IF($A380="","",$C380&amp;" | "&amp;$D380)</f>
        <v>Employment | Investigation underway</v>
      </c>
      <c r="T380" s="66" t="str">
        <f aca="false">IF($A380="","",IF(AND($L380="Outside provider",OR($E380="Intake",$E380="Active",$E380="Waiting")),"Yes","No"))</f>
        <v>No</v>
      </c>
    </row>
    <row r="381" customFormat="false" ht="15" hidden="false" customHeight="true" outlineLevel="0" collapsed="false">
      <c r="A381" s="67" t="s">
        <v>1116</v>
      </c>
      <c r="B381" s="67" t="s">
        <v>663</v>
      </c>
      <c r="C381" s="67" t="s">
        <v>501</v>
      </c>
      <c r="D381" s="67" t="s">
        <v>531</v>
      </c>
      <c r="E381" s="67" t="str">
        <f aca="false">IF($A381="","",IFERROR(INDEX('Status map'!$D$6:$D$64,MATCH($C381&amp;" | "&amp;$D381,'Status map'!$I$6:$I$64,0)),"Unmapped"))</f>
        <v>Waiting</v>
      </c>
      <c r="F381" s="67" t="s">
        <v>448</v>
      </c>
      <c r="G381" s="70" t="n">
        <v>46093</v>
      </c>
      <c r="H381" s="70"/>
      <c r="I381" s="70" t="n">
        <v>46238</v>
      </c>
      <c r="J381" s="67" t="s">
        <v>492</v>
      </c>
      <c r="K381" s="67" t="s">
        <v>449</v>
      </c>
      <c r="L381" s="67" t="s">
        <v>451</v>
      </c>
      <c r="M381" s="66" t="n">
        <f aca="false">IF(OR($A381="",$H381&lt;&gt;""),"",Targets!$C$8-$I381)</f>
        <v>27</v>
      </c>
      <c r="N381" s="66" t="str">
        <f aca="false">IF($A381="","",IF(AND($F381="Project",$E381="Active",$M381&lt;&gt;"",$M381&gt;Targets!$C$12),"Yes","No"))</f>
        <v>No</v>
      </c>
      <c r="O381" s="66" t="str">
        <f aca="false">IF($A381="","",IF(AND($G381&gt;=Targets!$C$7,$G381&lt;=Targets!$C$8),"Yes","No"))</f>
        <v>No</v>
      </c>
      <c r="P381" s="66" t="str">
        <f aca="false">IF($A381="","",IF(AND($H381&lt;&gt;"",$H381&gt;=Targets!$C$7,$H381&lt;=Targets!$C$8),"Yes","No"))</f>
        <v>No</v>
      </c>
      <c r="Q381" s="66" t="str">
        <f aca="false">IF($A381="","",IF(AND($F381="Project",$E381&lt;&gt;"Closed",$E381&lt;&gt;"Dormant"),"Yes","No"))</f>
        <v>Yes</v>
      </c>
      <c r="R381" s="66" t="str">
        <f aca="false">IF($A381="","",IF(AND($L381="In-house",OR($E381="Intake",$E381="Active",$E381="Waiting")),"Yes","No"))</f>
        <v>Yes</v>
      </c>
      <c r="S381" s="66" t="str">
        <f aca="false">IF($A381="","",$C381&amp;" | "&amp;$D381)</f>
        <v>M&amp;A and corporate deals | Signed, awaiting regulatory approval or closing conditions</v>
      </c>
      <c r="T381" s="66" t="str">
        <f aca="false">IF($A381="","",IF(AND($L381="Outside provider",OR($E381="Intake",$E381="Active",$E381="Waiting")),"Yes","No"))</f>
        <v>No</v>
      </c>
    </row>
    <row r="382" customFormat="false" ht="15" hidden="false" customHeight="true" outlineLevel="0" collapsed="false">
      <c r="A382" s="63" t="s">
        <v>1117</v>
      </c>
      <c r="B382" s="63" t="s">
        <v>1001</v>
      </c>
      <c r="C382" s="63" t="s">
        <v>465</v>
      </c>
      <c r="D382" s="63" t="s">
        <v>469</v>
      </c>
      <c r="E382" s="63" t="str">
        <f aca="false">IF($A382="","",IFERROR(INDEX('Status map'!$D$6:$D$64,MATCH($C382&amp;" | "&amp;$D382,'Status map'!$I$6:$I$64,0)),"Unmapped"))</f>
        <v>Active</v>
      </c>
      <c r="F382" s="63" t="s">
        <v>448</v>
      </c>
      <c r="G382" s="69" t="n">
        <v>46264</v>
      </c>
      <c r="H382" s="69"/>
      <c r="I382" s="69" t="n">
        <v>46246</v>
      </c>
      <c r="J382" s="63" t="s">
        <v>492</v>
      </c>
      <c r="K382" s="63" t="s">
        <v>492</v>
      </c>
      <c r="L382" s="63" t="s">
        <v>451</v>
      </c>
      <c r="M382" s="66" t="n">
        <f aca="false">IF(OR($A382="",$H382&lt;&gt;""),"",Targets!$C$8-$I382)</f>
        <v>19</v>
      </c>
      <c r="N382" s="66" t="str">
        <f aca="false">IF($A382="","",IF(AND($F382="Project",$E382="Active",$M382&lt;&gt;"",$M382&gt;Targets!$C$12),"Yes","No"))</f>
        <v>No</v>
      </c>
      <c r="O382" s="66" t="str">
        <f aca="false">IF($A382="","",IF(AND($G382&gt;=Targets!$C$7,$G382&lt;=Targets!$C$8),"Yes","No"))</f>
        <v>Yes</v>
      </c>
      <c r="P382" s="66" t="str">
        <f aca="false">IF($A382="","",IF(AND($H382&lt;&gt;"",$H382&gt;=Targets!$C$7,$H382&lt;=Targets!$C$8),"Yes","No"))</f>
        <v>No</v>
      </c>
      <c r="Q382" s="66" t="str">
        <f aca="false">IF($A382="","",IF(AND($F382="Project",$E382&lt;&gt;"Closed",$E382&lt;&gt;"Dormant"),"Yes","No"))</f>
        <v>Yes</v>
      </c>
      <c r="R382" s="66" t="str">
        <f aca="false">IF($A382="","",IF(AND($L382="In-house",OR($E382="Intake",$E382="Active",$E382="Waiting")),"Yes","No"))</f>
        <v>Yes</v>
      </c>
      <c r="S382" s="66" t="str">
        <f aca="false">IF($A382="","",$C382&amp;" | "&amp;$D382)</f>
        <v>Immigration and visas | Petition or an evidence response being prepared</v>
      </c>
      <c r="T382" s="66" t="str">
        <f aca="false">IF($A382="","",IF(AND($L382="Outside provider",OR($E382="Intake",$E382="Active",$E382="Waiting")),"Yes","No"))</f>
        <v>No</v>
      </c>
    </row>
    <row r="383" customFormat="false" ht="15" hidden="false" customHeight="true" outlineLevel="0" collapsed="false">
      <c r="A383" s="67" t="s">
        <v>1118</v>
      </c>
      <c r="B383" s="67" t="s">
        <v>1119</v>
      </c>
      <c r="C383" s="67" t="s">
        <v>465</v>
      </c>
      <c r="D383" s="67" t="s">
        <v>469</v>
      </c>
      <c r="E383" s="67" t="str">
        <f aca="false">IF($A383="","",IFERROR(INDEX('Status map'!$D$6:$D$64,MATCH($C383&amp;" | "&amp;$D383,'Status map'!$I$6:$I$64,0)),"Unmapped"))</f>
        <v>Active</v>
      </c>
      <c r="F383" s="67" t="s">
        <v>448</v>
      </c>
      <c r="G383" s="70" t="n">
        <v>45880</v>
      </c>
      <c r="H383" s="70"/>
      <c r="I383" s="70" t="n">
        <v>46260</v>
      </c>
      <c r="J383" s="67" t="s">
        <v>462</v>
      </c>
      <c r="K383" s="67" t="s">
        <v>470</v>
      </c>
      <c r="L383" s="67" t="s">
        <v>451</v>
      </c>
      <c r="M383" s="66" t="n">
        <f aca="false">IF(OR($A383="",$H383&lt;&gt;""),"",Targets!$C$8-$I383)</f>
        <v>5</v>
      </c>
      <c r="N383" s="66" t="str">
        <f aca="false">IF($A383="","",IF(AND($F383="Project",$E383="Active",$M383&lt;&gt;"",$M383&gt;Targets!$C$12),"Yes","No"))</f>
        <v>No</v>
      </c>
      <c r="O383" s="66" t="str">
        <f aca="false">IF($A383="","",IF(AND($G383&gt;=Targets!$C$7,$G383&lt;=Targets!$C$8),"Yes","No"))</f>
        <v>No</v>
      </c>
      <c r="P383" s="66" t="str">
        <f aca="false">IF($A383="","",IF(AND($H383&lt;&gt;"",$H383&gt;=Targets!$C$7,$H383&lt;=Targets!$C$8),"Yes","No"))</f>
        <v>No</v>
      </c>
      <c r="Q383" s="66" t="str">
        <f aca="false">IF($A383="","",IF(AND($F383="Project",$E383&lt;&gt;"Closed",$E383&lt;&gt;"Dormant"),"Yes","No"))</f>
        <v>Yes</v>
      </c>
      <c r="R383" s="66" t="str">
        <f aca="false">IF($A383="","",IF(AND($L383="In-house",OR($E383="Intake",$E383="Active",$E383="Waiting")),"Yes","No"))</f>
        <v>Yes</v>
      </c>
      <c r="S383" s="66" t="str">
        <f aca="false">IF($A383="","",$C383&amp;" | "&amp;$D383)</f>
        <v>Immigration and visas | Petition or an evidence response being prepared</v>
      </c>
      <c r="T383" s="66" t="str">
        <f aca="false">IF($A383="","",IF(AND($L383="Outside provider",OR($E383="Intake",$E383="Active",$E383="Waiting")),"Yes","No"))</f>
        <v>No</v>
      </c>
    </row>
    <row r="384" customFormat="false" ht="15" hidden="false" customHeight="true" outlineLevel="0" collapsed="false">
      <c r="A384" s="63" t="s">
        <v>1120</v>
      </c>
      <c r="B384" s="63" t="s">
        <v>1121</v>
      </c>
      <c r="C384" s="63" t="s">
        <v>454</v>
      </c>
      <c r="D384" s="63" t="s">
        <v>514</v>
      </c>
      <c r="E384" s="63" t="str">
        <f aca="false">IF($A384="","",IFERROR(INDEX('Status map'!$D$6:$D$64,MATCH($C384&amp;" | "&amp;$D384,'Status map'!$I$6:$I$64,0)),"Unmapped"))</f>
        <v>Active</v>
      </c>
      <c r="F384" s="63" t="s">
        <v>448</v>
      </c>
      <c r="G384" s="69" t="n">
        <v>46243</v>
      </c>
      <c r="H384" s="69"/>
      <c r="I384" s="69" t="n">
        <v>46257</v>
      </c>
      <c r="J384" s="63" t="s">
        <v>456</v>
      </c>
      <c r="K384" s="63" t="s">
        <v>492</v>
      </c>
      <c r="L384" s="63" t="s">
        <v>451</v>
      </c>
      <c r="M384" s="66" t="n">
        <f aca="false">IF(OR($A384="",$H384&lt;&gt;""),"",Targets!$C$8-$I384)</f>
        <v>8</v>
      </c>
      <c r="N384" s="66" t="str">
        <f aca="false">IF($A384="","",IF(AND($F384="Project",$E384="Active",$M384&lt;&gt;"",$M384&gt;Targets!$C$12),"Yes","No"))</f>
        <v>No</v>
      </c>
      <c r="O384" s="66" t="str">
        <f aca="false">IF($A384="","",IF(AND($G384&gt;=Targets!$C$7,$G384&lt;=Targets!$C$8),"Yes","No"))</f>
        <v>Yes</v>
      </c>
      <c r="P384" s="66" t="str">
        <f aca="false">IF($A384="","",IF(AND($H384&lt;&gt;"",$H384&gt;=Targets!$C$7,$H384&lt;=Targets!$C$8),"Yes","No"))</f>
        <v>No</v>
      </c>
      <c r="Q384" s="66" t="str">
        <f aca="false">IF($A384="","",IF(AND($F384="Project",$E384&lt;&gt;"Closed",$E384&lt;&gt;"Dormant"),"Yes","No"))</f>
        <v>Yes</v>
      </c>
      <c r="R384" s="66" t="str">
        <f aca="false">IF($A384="","",IF(AND($L384="In-house",OR($E384="Intake",$E384="Active",$E384="Waiting")),"Yes","No"))</f>
        <v>Yes</v>
      </c>
      <c r="S384" s="66" t="str">
        <f aca="false">IF($A384="","",$C384&amp;" | "&amp;$D384)</f>
        <v>Litigation | Active discovery, motions, or trial prep</v>
      </c>
      <c r="T384" s="66" t="str">
        <f aca="false">IF($A384="","",IF(AND($L384="Outside provider",OR($E384="Intake",$E384="Active",$E384="Waiting")),"Yes","No"))</f>
        <v>No</v>
      </c>
    </row>
    <row r="385" customFormat="false" ht="15" hidden="false" customHeight="true" outlineLevel="0" collapsed="false">
      <c r="A385" s="67" t="s">
        <v>1122</v>
      </c>
      <c r="B385" s="67" t="s">
        <v>725</v>
      </c>
      <c r="C385" s="67" t="s">
        <v>647</v>
      </c>
      <c r="D385" s="67" t="s">
        <v>648</v>
      </c>
      <c r="E385" s="67" t="str">
        <f aca="false">IF($A385="","",IFERROR(INDEX('Status map'!$D$6:$D$64,MATCH($C385&amp;" | "&amp;$D385,'Status map'!$I$6:$I$64,0)),"Unmapped"))</f>
        <v>Dormant</v>
      </c>
      <c r="F385" s="67" t="s">
        <v>510</v>
      </c>
      <c r="G385" s="70" t="n">
        <v>45947</v>
      </c>
      <c r="H385" s="70"/>
      <c r="I385" s="70" t="n">
        <v>46180</v>
      </c>
      <c r="J385" s="67" t="s">
        <v>449</v>
      </c>
      <c r="K385" s="67" t="s">
        <v>450</v>
      </c>
      <c r="L385" s="67" t="s">
        <v>451</v>
      </c>
      <c r="M385" s="66" t="n">
        <f aca="false">IF(OR($A385="",$H385&lt;&gt;""),"",Targets!$C$8-$I385)</f>
        <v>85</v>
      </c>
      <c r="N385" s="66" t="str">
        <f aca="false">IF($A385="","",IF(AND($F385="Project",$E385="Active",$M385&lt;&gt;"",$M385&gt;Targets!$C$12),"Yes","No"))</f>
        <v>No</v>
      </c>
      <c r="O385" s="66" t="str">
        <f aca="false">IF($A385="","",IF(AND($G385&gt;=Targets!$C$7,$G385&lt;=Targets!$C$8),"Yes","No"))</f>
        <v>No</v>
      </c>
      <c r="P385" s="66" t="str">
        <f aca="false">IF($A385="","",IF(AND($H385&lt;&gt;"",$H385&gt;=Targets!$C$7,$H385&lt;=Targets!$C$8),"Yes","No"))</f>
        <v>No</v>
      </c>
      <c r="Q385" s="66" t="str">
        <f aca="false">IF($A385="","",IF(AND($F385="Project",$E385&lt;&gt;"Closed",$E385&lt;&gt;"Dormant"),"Yes","No"))</f>
        <v>No</v>
      </c>
      <c r="R385" s="66" t="str">
        <f aca="false">IF($A385="","",IF(AND($L385="In-house",OR($E385="Intake",$E385="Active",$E385="Waiting")),"Yes","No"))</f>
        <v>No</v>
      </c>
      <c r="S385" s="66" t="str">
        <f aca="false">IF($A385="","",$C385&amp;" | "&amp;$D385)</f>
        <v>IP: patents and trademarks | Issued or registered, in maintenance</v>
      </c>
      <c r="T385" s="66" t="str">
        <f aca="false">IF($A385="","",IF(AND($L385="Outside provider",OR($E385="Intake",$E385="Active",$E385="Waiting")),"Yes","No"))</f>
        <v>No</v>
      </c>
    </row>
    <row r="386" customFormat="false" ht="15" hidden="false" customHeight="true" outlineLevel="0" collapsed="false">
      <c r="A386" s="63" t="s">
        <v>1123</v>
      </c>
      <c r="B386" s="63" t="s">
        <v>856</v>
      </c>
      <c r="C386" s="63" t="s">
        <v>501</v>
      </c>
      <c r="D386" s="63" t="s">
        <v>502</v>
      </c>
      <c r="E386" s="63" t="str">
        <f aca="false">IF($A386="","",IFERROR(INDEX('Status map'!$D$6:$D$64,MATCH($C386&amp;" | "&amp;$D386,'Status map'!$I$6:$I$64,0)),"Unmapped"))</f>
        <v>Closed</v>
      </c>
      <c r="F386" s="63" t="s">
        <v>448</v>
      </c>
      <c r="G386" s="69" t="n">
        <v>46190</v>
      </c>
      <c r="H386" s="69" t="n">
        <v>46243</v>
      </c>
      <c r="I386" s="69" t="n">
        <v>46243</v>
      </c>
      <c r="J386" s="63" t="s">
        <v>462</v>
      </c>
      <c r="K386" s="63" t="s">
        <v>474</v>
      </c>
      <c r="L386" s="63" t="s">
        <v>451</v>
      </c>
      <c r="M386" s="66" t="str">
        <f aca="false">IF(OR($A386="",$H386&lt;&gt;""),"",Targets!$C$8-$I386)</f>
        <v/>
      </c>
      <c r="N386" s="66" t="str">
        <f aca="false">IF($A386="","",IF(AND($F386="Project",$E386="Active",$M386&lt;&gt;"",$M386&gt;Targets!$C$12),"Yes","No"))</f>
        <v>No</v>
      </c>
      <c r="O386" s="66" t="str">
        <f aca="false">IF($A386="","",IF(AND($G386&gt;=Targets!$C$7,$G386&lt;=Targets!$C$8),"Yes","No"))</f>
        <v>No</v>
      </c>
      <c r="P386" s="66" t="str">
        <f aca="false">IF($A386="","",IF(AND($H386&lt;&gt;"",$H386&gt;=Targets!$C$7,$H386&lt;=Targets!$C$8),"Yes","No"))</f>
        <v>Yes</v>
      </c>
      <c r="Q386" s="66" t="str">
        <f aca="false">IF($A386="","",IF(AND($F386="Project",$E386&lt;&gt;"Closed",$E386&lt;&gt;"Dormant"),"Yes","No"))</f>
        <v>No</v>
      </c>
      <c r="R386" s="66" t="str">
        <f aca="false">IF($A386="","",IF(AND($L386="In-house",OR($E386="Intake",$E386="Active",$E386="Waiting")),"Yes","No"))</f>
        <v>No</v>
      </c>
      <c r="S386" s="66" t="str">
        <f aca="false">IF($A386="","",$C386&amp;" | "&amp;$D386)</f>
        <v>M&amp;A and corporate deals | Deal closed</v>
      </c>
      <c r="T386" s="66" t="str">
        <f aca="false">IF($A386="","",IF(AND($L386="Outside provider",OR($E386="Intake",$E386="Active",$E386="Waiting")),"Yes","No"))</f>
        <v>No</v>
      </c>
    </row>
    <row r="387" customFormat="false" ht="15" hidden="false" customHeight="true" outlineLevel="0" collapsed="false">
      <c r="A387" s="67" t="s">
        <v>1124</v>
      </c>
      <c r="B387" s="67" t="s">
        <v>1125</v>
      </c>
      <c r="C387" s="67" t="s">
        <v>465</v>
      </c>
      <c r="D387" s="67" t="s">
        <v>586</v>
      </c>
      <c r="E387" s="67" t="str">
        <f aca="false">IF($A387="","",IFERROR(INDEX('Status map'!$D$6:$D$64,MATCH($C387&amp;" | "&amp;$D387,'Status map'!$I$6:$I$64,0)),"Unmapped"))</f>
        <v>Waiting</v>
      </c>
      <c r="F387" s="67" t="s">
        <v>448</v>
      </c>
      <c r="G387" s="70" t="n">
        <v>45923</v>
      </c>
      <c r="H387" s="70"/>
      <c r="I387" s="70" t="n">
        <v>46258</v>
      </c>
      <c r="J387" s="67" t="s">
        <v>462</v>
      </c>
      <c r="K387" s="67" t="s">
        <v>462</v>
      </c>
      <c r="L387" s="67" t="s">
        <v>451</v>
      </c>
      <c r="M387" s="66" t="n">
        <f aca="false">IF(OR($A387="",$H387&lt;&gt;""),"",Targets!$C$8-$I387)</f>
        <v>7</v>
      </c>
      <c r="N387" s="66" t="str">
        <f aca="false">IF($A387="","",IF(AND($F387="Project",$E387="Active",$M387&lt;&gt;"",$M387&gt;Targets!$C$12),"Yes","No"))</f>
        <v>No</v>
      </c>
      <c r="O387" s="66" t="str">
        <f aca="false">IF($A387="","",IF(AND($G387&gt;=Targets!$C$7,$G387&lt;=Targets!$C$8),"Yes","No"))</f>
        <v>No</v>
      </c>
      <c r="P387" s="66" t="str">
        <f aca="false">IF($A387="","",IF(AND($H387&lt;&gt;"",$H387&gt;=Targets!$C$7,$H387&lt;=Targets!$C$8),"Yes","No"))</f>
        <v>No</v>
      </c>
      <c r="Q387" s="66" t="str">
        <f aca="false">IF($A387="","",IF(AND($F387="Project",$E387&lt;&gt;"Closed",$E387&lt;&gt;"Dormant"),"Yes","No"))</f>
        <v>Yes</v>
      </c>
      <c r="R387" s="66" t="str">
        <f aca="false">IF($A387="","",IF(AND($L387="In-house",OR($E387="Intake",$E387="Active",$E387="Waiting")),"Yes","No"))</f>
        <v>Yes</v>
      </c>
      <c r="S387" s="66" t="str">
        <f aca="false">IF($A387="","",$C387&amp;" | "&amp;$D387)</f>
        <v>Immigration and visas | Filed, awaiting a decision or with an evidence request pending</v>
      </c>
      <c r="T387" s="66" t="str">
        <f aca="false">IF($A387="","",IF(AND($L387="Outside provider",OR($E387="Intake",$E387="Active",$E387="Waiting")),"Yes","No"))</f>
        <v>No</v>
      </c>
    </row>
    <row r="388" customFormat="false" ht="15" hidden="false" customHeight="true" outlineLevel="0" collapsed="false">
      <c r="A388" s="63" t="s">
        <v>1126</v>
      </c>
      <c r="B388" s="63" t="s">
        <v>1127</v>
      </c>
      <c r="C388" s="63" t="s">
        <v>465</v>
      </c>
      <c r="D388" s="63" t="s">
        <v>466</v>
      </c>
      <c r="E388" s="63" t="str">
        <f aca="false">IF($A388="","",IFERROR(INDEX('Status map'!$D$6:$D$64,MATCH($C388&amp;" | "&amp;$D388,'Status map'!$I$6:$I$64,0)),"Unmapped"))</f>
        <v>Closed</v>
      </c>
      <c r="F388" s="63" t="s">
        <v>448</v>
      </c>
      <c r="G388" s="69" t="n">
        <v>45912</v>
      </c>
      <c r="H388" s="69" t="n">
        <v>46052</v>
      </c>
      <c r="I388" s="69" t="n">
        <v>46052</v>
      </c>
      <c r="J388" s="63" t="s">
        <v>450</v>
      </c>
      <c r="K388" s="63" t="s">
        <v>449</v>
      </c>
      <c r="L388" s="63" t="s">
        <v>451</v>
      </c>
      <c r="M388" s="66" t="str">
        <f aca="false">IF(OR($A388="",$H388&lt;&gt;""),"",Targets!$C$8-$I388)</f>
        <v/>
      </c>
      <c r="N388" s="66" t="str">
        <f aca="false">IF($A388="","",IF(AND($F388="Project",$E388="Active",$M388&lt;&gt;"",$M388&gt;Targets!$C$12),"Yes","No"))</f>
        <v>No</v>
      </c>
      <c r="O388" s="66" t="str">
        <f aca="false">IF($A388="","",IF(AND($G388&gt;=Targets!$C$7,$G388&lt;=Targets!$C$8),"Yes","No"))</f>
        <v>No</v>
      </c>
      <c r="P388" s="66" t="str">
        <f aca="false">IF($A388="","",IF(AND($H388&lt;&gt;"",$H388&gt;=Targets!$C$7,$H388&lt;=Targets!$C$8),"Yes","No"))</f>
        <v>No</v>
      </c>
      <c r="Q388" s="66" t="str">
        <f aca="false">IF($A388="","",IF(AND($F388="Project",$E388&lt;&gt;"Closed",$E388&lt;&gt;"Dormant"),"Yes","No"))</f>
        <v>No</v>
      </c>
      <c r="R388" s="66" t="str">
        <f aca="false">IF($A388="","",IF(AND($L388="In-house",OR($E388="Intake",$E388="Active",$E388="Waiting")),"Yes","No"))</f>
        <v>No</v>
      </c>
      <c r="S388" s="66" t="str">
        <f aca="false">IF($A388="","",$C388&amp;" | "&amp;$D388)</f>
        <v>Immigration and visas | Denied or withdrawn</v>
      </c>
      <c r="T388" s="66" t="str">
        <f aca="false">IF($A388="","",IF(AND($L388="Outside provider",OR($E388="Intake",$E388="Active",$E388="Waiting")),"Yes","No"))</f>
        <v>No</v>
      </c>
    </row>
    <row r="389" customFormat="false" ht="15" hidden="false" customHeight="true" outlineLevel="0" collapsed="false">
      <c r="A389" s="67" t="s">
        <v>1128</v>
      </c>
      <c r="B389" s="67" t="s">
        <v>1129</v>
      </c>
      <c r="C389" s="67" t="s">
        <v>459</v>
      </c>
      <c r="D389" s="67" t="s">
        <v>491</v>
      </c>
      <c r="E389" s="67" t="str">
        <f aca="false">IF($A389="","",IFERROR(INDEX('Status map'!$D$6:$D$64,MATCH($C389&amp;" | "&amp;$D389,'Status map'!$I$6:$I$64,0)),"Unmapped"))</f>
        <v>Active</v>
      </c>
      <c r="F389" s="67" t="s">
        <v>448</v>
      </c>
      <c r="G389" s="70" t="n">
        <v>46255</v>
      </c>
      <c r="H389" s="70"/>
      <c r="I389" s="70" t="n">
        <v>46245</v>
      </c>
      <c r="J389" s="67" t="s">
        <v>456</v>
      </c>
      <c r="K389" s="67" t="s">
        <v>474</v>
      </c>
      <c r="L389" s="67" t="s">
        <v>451</v>
      </c>
      <c r="M389" s="66" t="n">
        <f aca="false">IF(OR($A389="",$H389&lt;&gt;""),"",Targets!$C$8-$I389)</f>
        <v>20</v>
      </c>
      <c r="N389" s="66" t="str">
        <f aca="false">IF($A389="","",IF(AND($F389="Project",$E389="Active",$M389&lt;&gt;"",$M389&gt;Targets!$C$12),"Yes","No"))</f>
        <v>No</v>
      </c>
      <c r="O389" s="66" t="str">
        <f aca="false">IF($A389="","",IF(AND($G389&gt;=Targets!$C$7,$G389&lt;=Targets!$C$8),"Yes","No"))</f>
        <v>Yes</v>
      </c>
      <c r="P389" s="66" t="str">
        <f aca="false">IF($A389="","",IF(AND($H389&lt;&gt;"",$H389&gt;=Targets!$C$7,$H389&lt;=Targets!$C$8),"Yes","No"))</f>
        <v>No</v>
      </c>
      <c r="Q389" s="66" t="str">
        <f aca="false">IF($A389="","",IF(AND($F389="Project",$E389&lt;&gt;"Closed",$E389&lt;&gt;"Dormant"),"Yes","No"))</f>
        <v>Yes</v>
      </c>
      <c r="R389" s="66" t="str">
        <f aca="false">IF($A389="","",IF(AND($L389="In-house",OR($E389="Intake",$E389="Active",$E389="Waiting")),"Yes","No"))</f>
        <v>Yes</v>
      </c>
      <c r="S389" s="66" t="str">
        <f aca="false">IF($A389="","",$C389&amp;" | "&amp;$D389)</f>
        <v>Contracts | Drafting, review, or negotiation</v>
      </c>
      <c r="T389" s="66" t="str">
        <f aca="false">IF($A389="","",IF(AND($L389="Outside provider",OR($E389="Intake",$E389="Active",$E389="Waiting")),"Yes","No"))</f>
        <v>No</v>
      </c>
    </row>
    <row r="390" customFormat="false" ht="15" hidden="false" customHeight="true" outlineLevel="0" collapsed="false">
      <c r="A390" s="63" t="s">
        <v>1130</v>
      </c>
      <c r="B390" s="63" t="s">
        <v>1131</v>
      </c>
      <c r="C390" s="63" t="s">
        <v>465</v>
      </c>
      <c r="D390" s="63" t="s">
        <v>469</v>
      </c>
      <c r="E390" s="63" t="str">
        <f aca="false">IF($A390="","",IFERROR(INDEX('Status map'!$D$6:$D$64,MATCH($C390&amp;" | "&amp;$D390,'Status map'!$I$6:$I$64,0)),"Unmapped"))</f>
        <v>Active</v>
      </c>
      <c r="F390" s="63" t="s">
        <v>448</v>
      </c>
      <c r="G390" s="69" t="n">
        <v>46248</v>
      </c>
      <c r="H390" s="69"/>
      <c r="I390" s="69" t="n">
        <v>46263</v>
      </c>
      <c r="J390" s="63" t="s">
        <v>474</v>
      </c>
      <c r="K390" s="63" t="s">
        <v>492</v>
      </c>
      <c r="L390" s="63" t="s">
        <v>451</v>
      </c>
      <c r="M390" s="66" t="n">
        <f aca="false">IF(OR($A390="",$H390&lt;&gt;""),"",Targets!$C$8-$I390)</f>
        <v>2</v>
      </c>
      <c r="N390" s="66" t="str">
        <f aca="false">IF($A390="","",IF(AND($F390="Project",$E390="Active",$M390&lt;&gt;"",$M390&gt;Targets!$C$12),"Yes","No"))</f>
        <v>No</v>
      </c>
      <c r="O390" s="66" t="str">
        <f aca="false">IF($A390="","",IF(AND($G390&gt;=Targets!$C$7,$G390&lt;=Targets!$C$8),"Yes","No"))</f>
        <v>Yes</v>
      </c>
      <c r="P390" s="66" t="str">
        <f aca="false">IF($A390="","",IF(AND($H390&lt;&gt;"",$H390&gt;=Targets!$C$7,$H390&lt;=Targets!$C$8),"Yes","No"))</f>
        <v>No</v>
      </c>
      <c r="Q390" s="66" t="str">
        <f aca="false">IF($A390="","",IF(AND($F390="Project",$E390&lt;&gt;"Closed",$E390&lt;&gt;"Dormant"),"Yes","No"))</f>
        <v>Yes</v>
      </c>
      <c r="R390" s="66" t="str">
        <f aca="false">IF($A390="","",IF(AND($L390="In-house",OR($E390="Intake",$E390="Active",$E390="Waiting")),"Yes","No"))</f>
        <v>Yes</v>
      </c>
      <c r="S390" s="66" t="str">
        <f aca="false">IF($A390="","",$C390&amp;" | "&amp;$D390)</f>
        <v>Immigration and visas | Petition or an evidence response being prepared</v>
      </c>
      <c r="T390" s="66" t="str">
        <f aca="false">IF($A390="","",IF(AND($L390="Outside provider",OR($E390="Intake",$E390="Active",$E390="Waiting")),"Yes","No"))</f>
        <v>No</v>
      </c>
    </row>
    <row r="391" customFormat="false" ht="15" hidden="false" customHeight="true" outlineLevel="0" collapsed="false">
      <c r="A391" s="67" t="s">
        <v>1132</v>
      </c>
      <c r="B391" s="67" t="s">
        <v>1129</v>
      </c>
      <c r="C391" s="67" t="s">
        <v>459</v>
      </c>
      <c r="D391" s="67" t="s">
        <v>478</v>
      </c>
      <c r="E391" s="67" t="str">
        <f aca="false">IF($A391="","",IFERROR(INDEX('Status map'!$D$6:$D$64,MATCH($C391&amp;" | "&amp;$D391,'Status map'!$I$6:$I$64,0)),"Unmapped"))</f>
        <v>Closed</v>
      </c>
      <c r="F391" s="67" t="s">
        <v>448</v>
      </c>
      <c r="G391" s="70" t="n">
        <v>45932</v>
      </c>
      <c r="H391" s="70" t="n">
        <v>46120</v>
      </c>
      <c r="I391" s="70" t="n">
        <v>46120</v>
      </c>
      <c r="J391" s="67" t="s">
        <v>450</v>
      </c>
      <c r="K391" s="67" t="s">
        <v>470</v>
      </c>
      <c r="L391" s="67" t="s">
        <v>451</v>
      </c>
      <c r="M391" s="66" t="str">
        <f aca="false">IF(OR($A391="",$H391&lt;&gt;""),"",Targets!$C$8-$I391)</f>
        <v/>
      </c>
      <c r="N391" s="66" t="str">
        <f aca="false">IF($A391="","",IF(AND($F391="Project",$E391="Active",$M391&lt;&gt;"",$M391&gt;Targets!$C$12),"Yes","No"))</f>
        <v>No</v>
      </c>
      <c r="O391" s="66" t="str">
        <f aca="false">IF($A391="","",IF(AND($G391&gt;=Targets!$C$7,$G391&lt;=Targets!$C$8),"Yes","No"))</f>
        <v>No</v>
      </c>
      <c r="P391" s="66" t="str">
        <f aca="false">IF($A391="","",IF(AND($H391&lt;&gt;"",$H391&gt;=Targets!$C$7,$H391&lt;=Targets!$C$8),"Yes","No"))</f>
        <v>No</v>
      </c>
      <c r="Q391" s="66" t="str">
        <f aca="false">IF($A391="","",IF(AND($F391="Project",$E391&lt;&gt;"Closed",$E391&lt;&gt;"Dormant"),"Yes","No"))</f>
        <v>No</v>
      </c>
      <c r="R391" s="66" t="str">
        <f aca="false">IF($A391="","",IF(AND($L391="In-house",OR($E391="Intake",$E391="Active",$E391="Waiting")),"Yes","No"))</f>
        <v>No</v>
      </c>
      <c r="S391" s="66" t="str">
        <f aca="false">IF($A391="","",$C391&amp;" | "&amp;$D391)</f>
        <v>Contracts | Executed</v>
      </c>
      <c r="T391" s="66" t="str">
        <f aca="false">IF($A391="","",IF(AND($L391="Outside provider",OR($E391="Intake",$E391="Active",$E391="Waiting")),"Yes","No"))</f>
        <v>No</v>
      </c>
    </row>
    <row r="392" customFormat="false" ht="15" hidden="false" customHeight="true" outlineLevel="0" collapsed="false">
      <c r="A392" s="63" t="s">
        <v>1133</v>
      </c>
      <c r="B392" s="63" t="s">
        <v>1134</v>
      </c>
      <c r="C392" s="63" t="s">
        <v>459</v>
      </c>
      <c r="D392" s="63" t="s">
        <v>481</v>
      </c>
      <c r="E392" s="63" t="str">
        <f aca="false">IF($A392="","",IFERROR(INDEX('Status map'!$D$6:$D$64,MATCH($C392&amp;" | "&amp;$D392,'Status map'!$I$6:$I$64,0)),"Unmapped"))</f>
        <v>Closed</v>
      </c>
      <c r="F392" s="63" t="s">
        <v>448</v>
      </c>
      <c r="G392" s="69" t="n">
        <v>46237</v>
      </c>
      <c r="H392" s="69" t="n">
        <v>46247</v>
      </c>
      <c r="I392" s="69" t="n">
        <v>46247</v>
      </c>
      <c r="J392" s="63" t="s">
        <v>492</v>
      </c>
      <c r="K392" s="63" t="s">
        <v>449</v>
      </c>
      <c r="L392" s="63" t="s">
        <v>451</v>
      </c>
      <c r="M392" s="66" t="str">
        <f aca="false">IF(OR($A392="",$H392&lt;&gt;""),"",Targets!$C$8-$I392)</f>
        <v/>
      </c>
      <c r="N392" s="66" t="str">
        <f aca="false">IF($A392="","",IF(AND($F392="Project",$E392="Active",$M392&lt;&gt;"",$M392&gt;Targets!$C$12),"Yes","No"))</f>
        <v>No</v>
      </c>
      <c r="O392" s="66" t="str">
        <f aca="false">IF($A392="","",IF(AND($G392&gt;=Targets!$C$7,$G392&lt;=Targets!$C$8),"Yes","No"))</f>
        <v>Yes</v>
      </c>
      <c r="P392" s="66" t="str">
        <f aca="false">IF($A392="","",IF(AND($H392&lt;&gt;"",$H392&gt;=Targets!$C$7,$H392&lt;=Targets!$C$8),"Yes","No"))</f>
        <v>Yes</v>
      </c>
      <c r="Q392" s="66" t="str">
        <f aca="false">IF($A392="","",IF(AND($F392="Project",$E392&lt;&gt;"Closed",$E392&lt;&gt;"Dormant"),"Yes","No"))</f>
        <v>No</v>
      </c>
      <c r="R392" s="66" t="str">
        <f aca="false">IF($A392="","",IF(AND($L392="In-house",OR($E392="Intake",$E392="Active",$E392="Waiting")),"Yes","No"))</f>
        <v>No</v>
      </c>
      <c r="S392" s="66" t="str">
        <f aca="false">IF($A392="","",$C392&amp;" | "&amp;$D392)</f>
        <v>Contracts | Expired or terminated</v>
      </c>
      <c r="T392" s="66" t="str">
        <f aca="false">IF($A392="","",IF(AND($L392="Outside provider",OR($E392="Intake",$E392="Active",$E392="Waiting")),"Yes","No"))</f>
        <v>No</v>
      </c>
    </row>
    <row r="393" customFormat="false" ht="15" hidden="false" customHeight="true" outlineLevel="0" collapsed="false">
      <c r="A393" s="67" t="s">
        <v>1135</v>
      </c>
      <c r="B393" s="67" t="s">
        <v>1136</v>
      </c>
      <c r="C393" s="67" t="s">
        <v>454</v>
      </c>
      <c r="D393" s="67" t="s">
        <v>871</v>
      </c>
      <c r="E393" s="67" t="str">
        <f aca="false">IF($A393="","",IFERROR(INDEX('Status map'!$D$6:$D$64,MATCH($C393&amp;" | "&amp;$D393,'Status map'!$I$6:$I$64,0)),"Unmapped"))</f>
        <v>Intake</v>
      </c>
      <c r="F393" s="67" t="s">
        <v>448</v>
      </c>
      <c r="G393" s="70" t="n">
        <v>45964</v>
      </c>
      <c r="H393" s="70"/>
      <c r="I393" s="70" t="n">
        <v>46250</v>
      </c>
      <c r="J393" s="67" t="s">
        <v>492</v>
      </c>
      <c r="K393" s="67" t="s">
        <v>470</v>
      </c>
      <c r="L393" s="67" t="s">
        <v>451</v>
      </c>
      <c r="M393" s="66" t="n">
        <f aca="false">IF(OR($A393="",$H393&lt;&gt;""),"",Targets!$C$8-$I393)</f>
        <v>15</v>
      </c>
      <c r="N393" s="66" t="str">
        <f aca="false">IF($A393="","",IF(AND($F393="Project",$E393="Active",$M393&lt;&gt;"",$M393&gt;Targets!$C$12),"Yes","No"))</f>
        <v>No</v>
      </c>
      <c r="O393" s="66" t="str">
        <f aca="false">IF($A393="","",IF(AND($G393&gt;=Targets!$C$7,$G393&lt;=Targets!$C$8),"Yes","No"))</f>
        <v>No</v>
      </c>
      <c r="P393" s="66" t="str">
        <f aca="false">IF($A393="","",IF(AND($H393&lt;&gt;"",$H393&gt;=Targets!$C$7,$H393&lt;=Targets!$C$8),"Yes","No"))</f>
        <v>No</v>
      </c>
      <c r="Q393" s="66" t="str">
        <f aca="false">IF($A393="","",IF(AND($F393="Project",$E393&lt;&gt;"Closed",$E393&lt;&gt;"Dormant"),"Yes","No"))</f>
        <v>Yes</v>
      </c>
      <c r="R393" s="66" t="str">
        <f aca="false">IF($A393="","",IF(AND($L393="In-house",OR($E393="Intake",$E393="Active",$E393="Waiting")),"Yes","No"))</f>
        <v>Yes</v>
      </c>
      <c r="S393" s="66" t="str">
        <f aca="false">IF($A393="","",$C393&amp;" | "&amp;$D393)</f>
        <v>Litigation | Pre-suit or demand received</v>
      </c>
      <c r="T393" s="66" t="str">
        <f aca="false">IF($A393="","",IF(AND($L393="Outside provider",OR($E393="Intake",$E393="Active",$E393="Waiting")),"Yes","No"))</f>
        <v>No</v>
      </c>
    </row>
    <row r="394" customFormat="false" ht="15" hidden="false" customHeight="true" outlineLevel="0" collapsed="false">
      <c r="A394" s="63" t="s">
        <v>1137</v>
      </c>
      <c r="B394" s="63" t="s">
        <v>977</v>
      </c>
      <c r="C394" s="63" t="s">
        <v>454</v>
      </c>
      <c r="D394" s="63" t="s">
        <v>514</v>
      </c>
      <c r="E394" s="63" t="str">
        <f aca="false">IF($A394="","",IFERROR(INDEX('Status map'!$D$6:$D$64,MATCH($C394&amp;" | "&amp;$D394,'Status map'!$I$6:$I$64,0)),"Unmapped"))</f>
        <v>Active</v>
      </c>
      <c r="F394" s="63" t="s">
        <v>448</v>
      </c>
      <c r="G394" s="69" t="n">
        <v>46260</v>
      </c>
      <c r="H394" s="69"/>
      <c r="I394" s="69" t="n">
        <v>46251</v>
      </c>
      <c r="J394" s="63" t="s">
        <v>450</v>
      </c>
      <c r="K394" s="63" t="s">
        <v>492</v>
      </c>
      <c r="L394" s="63" t="s">
        <v>451</v>
      </c>
      <c r="M394" s="66" t="n">
        <f aca="false">IF(OR($A394="",$H394&lt;&gt;""),"",Targets!$C$8-$I394)</f>
        <v>14</v>
      </c>
      <c r="N394" s="66" t="str">
        <f aca="false">IF($A394="","",IF(AND($F394="Project",$E394="Active",$M394&lt;&gt;"",$M394&gt;Targets!$C$12),"Yes","No"))</f>
        <v>No</v>
      </c>
      <c r="O394" s="66" t="str">
        <f aca="false">IF($A394="","",IF(AND($G394&gt;=Targets!$C$7,$G394&lt;=Targets!$C$8),"Yes","No"))</f>
        <v>Yes</v>
      </c>
      <c r="P394" s="66" t="str">
        <f aca="false">IF($A394="","",IF(AND($H394&lt;&gt;"",$H394&gt;=Targets!$C$7,$H394&lt;=Targets!$C$8),"Yes","No"))</f>
        <v>No</v>
      </c>
      <c r="Q394" s="66" t="str">
        <f aca="false">IF($A394="","",IF(AND($F394="Project",$E394&lt;&gt;"Closed",$E394&lt;&gt;"Dormant"),"Yes","No"))</f>
        <v>Yes</v>
      </c>
      <c r="R394" s="66" t="str">
        <f aca="false">IF($A394="","",IF(AND($L394="In-house",OR($E394="Intake",$E394="Active",$E394="Waiting")),"Yes","No"))</f>
        <v>Yes</v>
      </c>
      <c r="S394" s="66" t="str">
        <f aca="false">IF($A394="","",$C394&amp;" | "&amp;$D394)</f>
        <v>Litigation | Active discovery, motions, or trial prep</v>
      </c>
      <c r="T394" s="66" t="str">
        <f aca="false">IF($A394="","",IF(AND($L394="Outside provider",OR($E394="Intake",$E394="Active",$E394="Waiting")),"Yes","No"))</f>
        <v>No</v>
      </c>
    </row>
    <row r="395" customFormat="false" ht="15" hidden="false" customHeight="true" outlineLevel="0" collapsed="false">
      <c r="A395" s="67" t="s">
        <v>1138</v>
      </c>
      <c r="B395" s="67" t="s">
        <v>1037</v>
      </c>
      <c r="C395" s="67" t="s">
        <v>465</v>
      </c>
      <c r="D395" s="67" t="s">
        <v>509</v>
      </c>
      <c r="E395" s="67" t="str">
        <f aca="false">IF($A395="","",IFERROR(INDEX('Status map'!$D$6:$D$64,MATCH($C395&amp;" | "&amp;$D395,'Status map'!$I$6:$I$64,0)),"Unmapped"))</f>
        <v>Dormant</v>
      </c>
      <c r="F395" s="67" t="s">
        <v>510</v>
      </c>
      <c r="G395" s="70" t="n">
        <v>45214</v>
      </c>
      <c r="H395" s="70"/>
      <c r="I395" s="70" t="n">
        <v>46003</v>
      </c>
      <c r="J395" s="67" t="s">
        <v>450</v>
      </c>
      <c r="K395" s="67" t="s">
        <v>462</v>
      </c>
      <c r="L395" s="67" t="s">
        <v>451</v>
      </c>
      <c r="M395" s="66" t="n">
        <f aca="false">IF(OR($A395="",$H395&lt;&gt;""),"",Targets!$C$8-$I395)</f>
        <v>262</v>
      </c>
      <c r="N395" s="66" t="str">
        <f aca="false">IF($A395="","",IF(AND($F395="Project",$E395="Active",$M395&lt;&gt;"",$M395&gt;Targets!$C$12),"Yes","No"))</f>
        <v>No</v>
      </c>
      <c r="O395" s="66" t="str">
        <f aca="false">IF($A395="","",IF(AND($G395&gt;=Targets!$C$7,$G395&lt;=Targets!$C$8),"Yes","No"))</f>
        <v>No</v>
      </c>
      <c r="P395" s="66" t="str">
        <f aca="false">IF($A395="","",IF(AND($H395&lt;&gt;"",$H395&gt;=Targets!$C$7,$H395&lt;=Targets!$C$8),"Yes","No"))</f>
        <v>No</v>
      </c>
      <c r="Q395" s="66" t="str">
        <f aca="false">IF($A395="","",IF(AND($F395="Project",$E395&lt;&gt;"Closed",$E395&lt;&gt;"Dormant"),"Yes","No"))</f>
        <v>No</v>
      </c>
      <c r="R395" s="66" t="str">
        <f aca="false">IF($A395="","",IF(AND($L395="In-house",OR($E395="Intake",$E395="Active",$E395="Waiting")),"Yes","No"))</f>
        <v>No</v>
      </c>
      <c r="S395" s="66" t="str">
        <f aca="false">IF($A395="","",$C395&amp;" | "&amp;$D395)</f>
        <v>Immigration and visas | Approved, renewal window tracked</v>
      </c>
      <c r="T395" s="66" t="str">
        <f aca="false">IF($A395="","",IF(AND($L395="Outside provider",OR($E395="Intake",$E395="Active",$E395="Waiting")),"Yes","No"))</f>
        <v>No</v>
      </c>
    </row>
    <row r="396" customFormat="false" ht="15" hidden="false" customHeight="true" outlineLevel="0" collapsed="false">
      <c r="A396" s="63"/>
      <c r="B396" s="63"/>
      <c r="C396" s="63"/>
      <c r="D396" s="63"/>
      <c r="E396" s="63" t="str">
        <f aca="false">IF($A396="","",IFERROR(INDEX('Status map'!$D$6:$D$64,MATCH($C396&amp;" | "&amp;$D396,'Status map'!$I$6:$I$64,0)),"Unmapped"))</f>
        <v/>
      </c>
      <c r="F396" s="63"/>
      <c r="G396" s="69"/>
      <c r="H396" s="69"/>
      <c r="I396" s="69"/>
      <c r="J396" s="63"/>
      <c r="K396" s="63"/>
      <c r="L396" s="63"/>
      <c r="M396" s="66" t="str">
        <f aca="false">IF(OR($A396="",$H396&lt;&gt;""),"",Targets!$C$8-$I396)</f>
        <v/>
      </c>
      <c r="N396" s="66" t="str">
        <f aca="false">IF($A396="","",IF(AND($F396="Project",$E396="Active",$M396&lt;&gt;"",$M396&gt;Targets!$C$12),"Yes","No"))</f>
        <v/>
      </c>
      <c r="O396" s="66" t="str">
        <f aca="false">IF($A396="","",IF(AND($G396&gt;=Targets!$C$7,$G396&lt;=Targets!$C$8),"Yes","No"))</f>
        <v/>
      </c>
      <c r="P396" s="66" t="str">
        <f aca="false">IF($A396="","",IF(AND($H396&lt;&gt;"",$H396&gt;=Targets!$C$7,$H396&lt;=Targets!$C$8),"Yes","No"))</f>
        <v/>
      </c>
      <c r="Q396" s="66" t="str">
        <f aca="false">IF($A396="","",IF(AND($F396="Project",$E396&lt;&gt;"Closed",$E396&lt;&gt;"Dormant"),"Yes","No"))</f>
        <v/>
      </c>
      <c r="R396" s="66" t="str">
        <f aca="false">IF($A396="","",IF(AND($L396="In-house",OR($E396="Intake",$E396="Active",$E396="Waiting")),"Yes","No"))</f>
        <v/>
      </c>
      <c r="S396" s="66" t="str">
        <f aca="false">IF($A396="","",$C396&amp;" | "&amp;$D396)</f>
        <v/>
      </c>
      <c r="T396" s="66" t="str">
        <f aca="false">IF($A396="","",IF(AND($L396="Outside provider",OR($E396="Intake",$E396="Active",$E396="Waiting")),"Yes","No"))</f>
        <v/>
      </c>
    </row>
    <row r="397" customFormat="false" ht="15" hidden="false" customHeight="true" outlineLevel="0" collapsed="false">
      <c r="A397" s="67"/>
      <c r="B397" s="67"/>
      <c r="C397" s="67"/>
      <c r="D397" s="67"/>
      <c r="E397" s="67" t="str">
        <f aca="false">IF($A397="","",IFERROR(INDEX('Status map'!$D$6:$D$64,MATCH($C397&amp;" | "&amp;$D397,'Status map'!$I$6:$I$64,0)),"Unmapped"))</f>
        <v/>
      </c>
      <c r="F397" s="67"/>
      <c r="G397" s="70"/>
      <c r="H397" s="70"/>
      <c r="I397" s="70"/>
      <c r="J397" s="67"/>
      <c r="K397" s="67"/>
      <c r="L397" s="67"/>
      <c r="M397" s="66" t="str">
        <f aca="false">IF(OR($A397="",$H397&lt;&gt;""),"",Targets!$C$8-$I397)</f>
        <v/>
      </c>
      <c r="N397" s="66" t="str">
        <f aca="false">IF($A397="","",IF(AND($F397="Project",$E397="Active",$M397&lt;&gt;"",$M397&gt;Targets!$C$12),"Yes","No"))</f>
        <v/>
      </c>
      <c r="O397" s="66" t="str">
        <f aca="false">IF($A397="","",IF(AND($G397&gt;=Targets!$C$7,$G397&lt;=Targets!$C$8),"Yes","No"))</f>
        <v/>
      </c>
      <c r="P397" s="66" t="str">
        <f aca="false">IF($A397="","",IF(AND($H397&lt;&gt;"",$H397&gt;=Targets!$C$7,$H397&lt;=Targets!$C$8),"Yes","No"))</f>
        <v/>
      </c>
      <c r="Q397" s="66" t="str">
        <f aca="false">IF($A397="","",IF(AND($F397="Project",$E397&lt;&gt;"Closed",$E397&lt;&gt;"Dormant"),"Yes","No"))</f>
        <v/>
      </c>
      <c r="R397" s="66" t="str">
        <f aca="false">IF($A397="","",IF(AND($L397="In-house",OR($E397="Intake",$E397="Active",$E397="Waiting")),"Yes","No"))</f>
        <v/>
      </c>
      <c r="S397" s="66" t="str">
        <f aca="false">IF($A397="","",$C397&amp;" | "&amp;$D397)</f>
        <v/>
      </c>
      <c r="T397" s="66" t="str">
        <f aca="false">IF($A397="","",IF(AND($L397="Outside provider",OR($E397="Intake",$E397="Active",$E397="Waiting")),"Yes","No"))</f>
        <v/>
      </c>
    </row>
    <row r="398" customFormat="false" ht="15" hidden="false" customHeight="true" outlineLevel="0" collapsed="false">
      <c r="A398" s="63"/>
      <c r="B398" s="63"/>
      <c r="C398" s="63"/>
      <c r="D398" s="63"/>
      <c r="E398" s="63" t="str">
        <f aca="false">IF($A398="","",IFERROR(INDEX('Status map'!$D$6:$D$64,MATCH($C398&amp;" | "&amp;$D398,'Status map'!$I$6:$I$64,0)),"Unmapped"))</f>
        <v/>
      </c>
      <c r="F398" s="63"/>
      <c r="G398" s="69"/>
      <c r="H398" s="69"/>
      <c r="I398" s="69"/>
      <c r="J398" s="63"/>
      <c r="K398" s="63"/>
      <c r="L398" s="63"/>
      <c r="M398" s="66" t="str">
        <f aca="false">IF(OR($A398="",$H398&lt;&gt;""),"",Targets!$C$8-$I398)</f>
        <v/>
      </c>
      <c r="N398" s="66" t="str">
        <f aca="false">IF($A398="","",IF(AND($F398="Project",$E398="Active",$M398&lt;&gt;"",$M398&gt;Targets!$C$12),"Yes","No"))</f>
        <v/>
      </c>
      <c r="O398" s="66" t="str">
        <f aca="false">IF($A398="","",IF(AND($G398&gt;=Targets!$C$7,$G398&lt;=Targets!$C$8),"Yes","No"))</f>
        <v/>
      </c>
      <c r="P398" s="66" t="str">
        <f aca="false">IF($A398="","",IF(AND($H398&lt;&gt;"",$H398&gt;=Targets!$C$7,$H398&lt;=Targets!$C$8),"Yes","No"))</f>
        <v/>
      </c>
      <c r="Q398" s="66" t="str">
        <f aca="false">IF($A398="","",IF(AND($F398="Project",$E398&lt;&gt;"Closed",$E398&lt;&gt;"Dormant"),"Yes","No"))</f>
        <v/>
      </c>
      <c r="R398" s="66" t="str">
        <f aca="false">IF($A398="","",IF(AND($L398="In-house",OR($E398="Intake",$E398="Active",$E398="Waiting")),"Yes","No"))</f>
        <v/>
      </c>
      <c r="S398" s="66" t="str">
        <f aca="false">IF($A398="","",$C398&amp;" | "&amp;$D398)</f>
        <v/>
      </c>
      <c r="T398" s="66" t="str">
        <f aca="false">IF($A398="","",IF(AND($L398="Outside provider",OR($E398="Intake",$E398="Active",$E398="Waiting")),"Yes","No"))</f>
        <v/>
      </c>
    </row>
    <row r="399" customFormat="false" ht="15" hidden="false" customHeight="true" outlineLevel="0" collapsed="false">
      <c r="A399" s="67"/>
      <c r="B399" s="67"/>
      <c r="C399" s="67"/>
      <c r="D399" s="67"/>
      <c r="E399" s="67" t="str">
        <f aca="false">IF($A399="","",IFERROR(INDEX('Status map'!$D$6:$D$64,MATCH($C399&amp;" | "&amp;$D399,'Status map'!$I$6:$I$64,0)),"Unmapped"))</f>
        <v/>
      </c>
      <c r="F399" s="67"/>
      <c r="G399" s="70"/>
      <c r="H399" s="70"/>
      <c r="I399" s="70"/>
      <c r="J399" s="67"/>
      <c r="K399" s="67"/>
      <c r="L399" s="67"/>
      <c r="M399" s="66" t="str">
        <f aca="false">IF(OR($A399="",$H399&lt;&gt;""),"",Targets!$C$8-$I399)</f>
        <v/>
      </c>
      <c r="N399" s="66" t="str">
        <f aca="false">IF($A399="","",IF(AND($F399="Project",$E399="Active",$M399&lt;&gt;"",$M399&gt;Targets!$C$12),"Yes","No"))</f>
        <v/>
      </c>
      <c r="O399" s="66" t="str">
        <f aca="false">IF($A399="","",IF(AND($G399&gt;=Targets!$C$7,$G399&lt;=Targets!$C$8),"Yes","No"))</f>
        <v/>
      </c>
      <c r="P399" s="66" t="str">
        <f aca="false">IF($A399="","",IF(AND($H399&lt;&gt;"",$H399&gt;=Targets!$C$7,$H399&lt;=Targets!$C$8),"Yes","No"))</f>
        <v/>
      </c>
      <c r="Q399" s="66" t="str">
        <f aca="false">IF($A399="","",IF(AND($F399="Project",$E399&lt;&gt;"Closed",$E399&lt;&gt;"Dormant"),"Yes","No"))</f>
        <v/>
      </c>
      <c r="R399" s="66" t="str">
        <f aca="false">IF($A399="","",IF(AND($L399="In-house",OR($E399="Intake",$E399="Active",$E399="Waiting")),"Yes","No"))</f>
        <v/>
      </c>
      <c r="S399" s="66" t="str">
        <f aca="false">IF($A399="","",$C399&amp;" | "&amp;$D399)</f>
        <v/>
      </c>
      <c r="T399" s="66" t="str">
        <f aca="false">IF($A399="","",IF(AND($L399="Outside provider",OR($E399="Intake",$E399="Active",$E399="Waiting")),"Yes","No"))</f>
        <v/>
      </c>
    </row>
    <row r="400" customFormat="false" ht="15" hidden="false" customHeight="true" outlineLevel="0" collapsed="false">
      <c r="A400" s="63"/>
      <c r="B400" s="63"/>
      <c r="C400" s="63"/>
      <c r="D400" s="63"/>
      <c r="E400" s="63" t="str">
        <f aca="false">IF($A400="","",IFERROR(INDEX('Status map'!$D$6:$D$64,MATCH($C400&amp;" | "&amp;$D400,'Status map'!$I$6:$I$64,0)),"Unmapped"))</f>
        <v/>
      </c>
      <c r="F400" s="63"/>
      <c r="G400" s="69"/>
      <c r="H400" s="69"/>
      <c r="I400" s="69"/>
      <c r="J400" s="63"/>
      <c r="K400" s="63"/>
      <c r="L400" s="63"/>
      <c r="M400" s="66" t="str">
        <f aca="false">IF(OR($A400="",$H400&lt;&gt;""),"",Targets!$C$8-$I400)</f>
        <v/>
      </c>
      <c r="N400" s="66" t="str">
        <f aca="false">IF($A400="","",IF(AND($F400="Project",$E400="Active",$M400&lt;&gt;"",$M400&gt;Targets!$C$12),"Yes","No"))</f>
        <v/>
      </c>
      <c r="O400" s="66" t="str">
        <f aca="false">IF($A400="","",IF(AND($G400&gt;=Targets!$C$7,$G400&lt;=Targets!$C$8),"Yes","No"))</f>
        <v/>
      </c>
      <c r="P400" s="66" t="str">
        <f aca="false">IF($A400="","",IF(AND($H400&lt;&gt;"",$H400&gt;=Targets!$C$7,$H400&lt;=Targets!$C$8),"Yes","No"))</f>
        <v/>
      </c>
      <c r="Q400" s="66" t="str">
        <f aca="false">IF($A400="","",IF(AND($F400="Project",$E400&lt;&gt;"Closed",$E400&lt;&gt;"Dormant"),"Yes","No"))</f>
        <v/>
      </c>
      <c r="R400" s="66" t="str">
        <f aca="false">IF($A400="","",IF(AND($L400="In-house",OR($E400="Intake",$E400="Active",$E400="Waiting")),"Yes","No"))</f>
        <v/>
      </c>
      <c r="S400" s="66" t="str">
        <f aca="false">IF($A400="","",$C400&amp;" | "&amp;$D400)</f>
        <v/>
      </c>
      <c r="T400" s="66" t="str">
        <f aca="false">IF($A400="","",IF(AND($L400="Outside provider",OR($E400="Intake",$E400="Active",$E400="Waiting")),"Yes","No"))</f>
        <v/>
      </c>
    </row>
    <row r="401" customFormat="false" ht="15" hidden="false" customHeight="true" outlineLevel="0" collapsed="false">
      <c r="A401" s="67"/>
      <c r="B401" s="67"/>
      <c r="C401" s="67"/>
      <c r="D401" s="67"/>
      <c r="E401" s="67" t="str">
        <f aca="false">IF($A401="","",IFERROR(INDEX('Status map'!$D$6:$D$64,MATCH($C401&amp;" | "&amp;$D401,'Status map'!$I$6:$I$64,0)),"Unmapped"))</f>
        <v/>
      </c>
      <c r="F401" s="67"/>
      <c r="G401" s="70"/>
      <c r="H401" s="70"/>
      <c r="I401" s="70"/>
      <c r="J401" s="67"/>
      <c r="K401" s="67"/>
      <c r="L401" s="67"/>
      <c r="M401" s="66" t="str">
        <f aca="false">IF(OR($A401="",$H401&lt;&gt;""),"",Targets!$C$8-$I401)</f>
        <v/>
      </c>
      <c r="N401" s="66" t="str">
        <f aca="false">IF($A401="","",IF(AND($F401="Project",$E401="Active",$M401&lt;&gt;"",$M401&gt;Targets!$C$12),"Yes","No"))</f>
        <v/>
      </c>
      <c r="O401" s="66" t="str">
        <f aca="false">IF($A401="","",IF(AND($G401&gt;=Targets!$C$7,$G401&lt;=Targets!$C$8),"Yes","No"))</f>
        <v/>
      </c>
      <c r="P401" s="66" t="str">
        <f aca="false">IF($A401="","",IF(AND($H401&lt;&gt;"",$H401&gt;=Targets!$C$7,$H401&lt;=Targets!$C$8),"Yes","No"))</f>
        <v/>
      </c>
      <c r="Q401" s="66" t="str">
        <f aca="false">IF($A401="","",IF(AND($F401="Project",$E401&lt;&gt;"Closed",$E401&lt;&gt;"Dormant"),"Yes","No"))</f>
        <v/>
      </c>
      <c r="R401" s="66" t="str">
        <f aca="false">IF($A401="","",IF(AND($L401="In-house",OR($E401="Intake",$E401="Active",$E401="Waiting")),"Yes","No"))</f>
        <v/>
      </c>
      <c r="S401" s="66" t="str">
        <f aca="false">IF($A401="","",$C401&amp;" | "&amp;$D401)</f>
        <v/>
      </c>
      <c r="T401" s="66" t="str">
        <f aca="false">IF($A401="","",IF(AND($L401="Outside provider",OR($E401="Intake",$E401="Active",$E401="Waiting")),"Yes","No"))</f>
        <v/>
      </c>
    </row>
    <row r="402" customFormat="false" ht="15" hidden="false" customHeight="true" outlineLevel="0" collapsed="false">
      <c r="A402" s="63"/>
      <c r="B402" s="63"/>
      <c r="C402" s="63"/>
      <c r="D402" s="63"/>
      <c r="E402" s="63" t="str">
        <f aca="false">IF($A402="","",IFERROR(INDEX('Status map'!$D$6:$D$64,MATCH($C402&amp;" | "&amp;$D402,'Status map'!$I$6:$I$64,0)),"Unmapped"))</f>
        <v/>
      </c>
      <c r="F402" s="63"/>
      <c r="G402" s="69"/>
      <c r="H402" s="69"/>
      <c r="I402" s="69"/>
      <c r="J402" s="63"/>
      <c r="K402" s="63"/>
      <c r="L402" s="63"/>
      <c r="M402" s="66" t="str">
        <f aca="false">IF(OR($A402="",$H402&lt;&gt;""),"",Targets!$C$8-$I402)</f>
        <v/>
      </c>
      <c r="N402" s="66" t="str">
        <f aca="false">IF($A402="","",IF(AND($F402="Project",$E402="Active",$M402&lt;&gt;"",$M402&gt;Targets!$C$12),"Yes","No"))</f>
        <v/>
      </c>
      <c r="O402" s="66" t="str">
        <f aca="false">IF($A402="","",IF(AND($G402&gt;=Targets!$C$7,$G402&lt;=Targets!$C$8),"Yes","No"))</f>
        <v/>
      </c>
      <c r="P402" s="66" t="str">
        <f aca="false">IF($A402="","",IF(AND($H402&lt;&gt;"",$H402&gt;=Targets!$C$7,$H402&lt;=Targets!$C$8),"Yes","No"))</f>
        <v/>
      </c>
      <c r="Q402" s="66" t="str">
        <f aca="false">IF($A402="","",IF(AND($F402="Project",$E402&lt;&gt;"Closed",$E402&lt;&gt;"Dormant"),"Yes","No"))</f>
        <v/>
      </c>
      <c r="R402" s="66" t="str">
        <f aca="false">IF($A402="","",IF(AND($L402="In-house",OR($E402="Intake",$E402="Active",$E402="Waiting")),"Yes","No"))</f>
        <v/>
      </c>
      <c r="S402" s="66" t="str">
        <f aca="false">IF($A402="","",$C402&amp;" | "&amp;$D402)</f>
        <v/>
      </c>
      <c r="T402" s="66" t="str">
        <f aca="false">IF($A402="","",IF(AND($L402="Outside provider",OR($E402="Intake",$E402="Active",$E402="Waiting")),"Yes","No"))</f>
        <v/>
      </c>
    </row>
    <row r="403" customFormat="false" ht="15" hidden="false" customHeight="true" outlineLevel="0" collapsed="false">
      <c r="A403" s="67"/>
      <c r="B403" s="67"/>
      <c r="C403" s="67"/>
      <c r="D403" s="67"/>
      <c r="E403" s="67" t="str">
        <f aca="false">IF($A403="","",IFERROR(INDEX('Status map'!$D$6:$D$64,MATCH($C403&amp;" | "&amp;$D403,'Status map'!$I$6:$I$64,0)),"Unmapped"))</f>
        <v/>
      </c>
      <c r="F403" s="67"/>
      <c r="G403" s="70"/>
      <c r="H403" s="70"/>
      <c r="I403" s="70"/>
      <c r="J403" s="67"/>
      <c r="K403" s="67"/>
      <c r="L403" s="67"/>
      <c r="M403" s="66" t="str">
        <f aca="false">IF(OR($A403="",$H403&lt;&gt;""),"",Targets!$C$8-$I403)</f>
        <v/>
      </c>
      <c r="N403" s="66" t="str">
        <f aca="false">IF($A403="","",IF(AND($F403="Project",$E403="Active",$M403&lt;&gt;"",$M403&gt;Targets!$C$12),"Yes","No"))</f>
        <v/>
      </c>
      <c r="O403" s="66" t="str">
        <f aca="false">IF($A403="","",IF(AND($G403&gt;=Targets!$C$7,$G403&lt;=Targets!$C$8),"Yes","No"))</f>
        <v/>
      </c>
      <c r="P403" s="66" t="str">
        <f aca="false">IF($A403="","",IF(AND($H403&lt;&gt;"",$H403&gt;=Targets!$C$7,$H403&lt;=Targets!$C$8),"Yes","No"))</f>
        <v/>
      </c>
      <c r="Q403" s="66" t="str">
        <f aca="false">IF($A403="","",IF(AND($F403="Project",$E403&lt;&gt;"Closed",$E403&lt;&gt;"Dormant"),"Yes","No"))</f>
        <v/>
      </c>
      <c r="R403" s="66" t="str">
        <f aca="false">IF($A403="","",IF(AND($L403="In-house",OR($E403="Intake",$E403="Active",$E403="Waiting")),"Yes","No"))</f>
        <v/>
      </c>
      <c r="S403" s="66" t="str">
        <f aca="false">IF($A403="","",$C403&amp;" | "&amp;$D403)</f>
        <v/>
      </c>
      <c r="T403" s="66" t="str">
        <f aca="false">IF($A403="","",IF(AND($L403="Outside provider",OR($E403="Intake",$E403="Active",$E403="Waiting")),"Yes","No"))</f>
        <v/>
      </c>
    </row>
    <row r="404" customFormat="false" ht="15" hidden="false" customHeight="true" outlineLevel="0" collapsed="false">
      <c r="A404" s="63"/>
      <c r="B404" s="63"/>
      <c r="C404" s="63"/>
      <c r="D404" s="63"/>
      <c r="E404" s="63" t="str">
        <f aca="false">IF($A404="","",IFERROR(INDEX('Status map'!$D$6:$D$64,MATCH($C404&amp;" | "&amp;$D404,'Status map'!$I$6:$I$64,0)),"Unmapped"))</f>
        <v/>
      </c>
      <c r="F404" s="63"/>
      <c r="G404" s="69"/>
      <c r="H404" s="69"/>
      <c r="I404" s="69"/>
      <c r="J404" s="63"/>
      <c r="K404" s="63"/>
      <c r="L404" s="63"/>
      <c r="M404" s="66" t="str">
        <f aca="false">IF(OR($A404="",$H404&lt;&gt;""),"",Targets!$C$8-$I404)</f>
        <v/>
      </c>
      <c r="N404" s="66" t="str">
        <f aca="false">IF($A404="","",IF(AND($F404="Project",$E404="Active",$M404&lt;&gt;"",$M404&gt;Targets!$C$12),"Yes","No"))</f>
        <v/>
      </c>
      <c r="O404" s="66" t="str">
        <f aca="false">IF($A404="","",IF(AND($G404&gt;=Targets!$C$7,$G404&lt;=Targets!$C$8),"Yes","No"))</f>
        <v/>
      </c>
      <c r="P404" s="66" t="str">
        <f aca="false">IF($A404="","",IF(AND($H404&lt;&gt;"",$H404&gt;=Targets!$C$7,$H404&lt;=Targets!$C$8),"Yes","No"))</f>
        <v/>
      </c>
      <c r="Q404" s="66" t="str">
        <f aca="false">IF($A404="","",IF(AND($F404="Project",$E404&lt;&gt;"Closed",$E404&lt;&gt;"Dormant"),"Yes","No"))</f>
        <v/>
      </c>
      <c r="R404" s="66" t="str">
        <f aca="false">IF($A404="","",IF(AND($L404="In-house",OR($E404="Intake",$E404="Active",$E404="Waiting")),"Yes","No"))</f>
        <v/>
      </c>
      <c r="S404" s="66" t="str">
        <f aca="false">IF($A404="","",$C404&amp;" | "&amp;$D404)</f>
        <v/>
      </c>
      <c r="T404" s="66" t="str">
        <f aca="false">IF($A404="","",IF(AND($L404="Outside provider",OR($E404="Intake",$E404="Active",$E404="Waiting")),"Yes","No"))</f>
        <v/>
      </c>
    </row>
    <row r="405" customFormat="false" ht="15" hidden="false" customHeight="true" outlineLevel="0" collapsed="false">
      <c r="A405" s="67"/>
      <c r="B405" s="67"/>
      <c r="C405" s="67"/>
      <c r="D405" s="67"/>
      <c r="E405" s="67" t="str">
        <f aca="false">IF($A405="","",IFERROR(INDEX('Status map'!$D$6:$D$64,MATCH($C405&amp;" | "&amp;$D405,'Status map'!$I$6:$I$64,0)),"Unmapped"))</f>
        <v/>
      </c>
      <c r="F405" s="67"/>
      <c r="G405" s="70"/>
      <c r="H405" s="70"/>
      <c r="I405" s="70"/>
      <c r="J405" s="67"/>
      <c r="K405" s="67"/>
      <c r="L405" s="67"/>
      <c r="M405" s="66" t="str">
        <f aca="false">IF(OR($A405="",$H405&lt;&gt;""),"",Targets!$C$8-$I405)</f>
        <v/>
      </c>
      <c r="N405" s="66" t="str">
        <f aca="false">IF($A405="","",IF(AND($F405="Project",$E405="Active",$M405&lt;&gt;"",$M405&gt;Targets!$C$12),"Yes","No"))</f>
        <v/>
      </c>
      <c r="O405" s="66" t="str">
        <f aca="false">IF($A405="","",IF(AND($G405&gt;=Targets!$C$7,$G405&lt;=Targets!$C$8),"Yes","No"))</f>
        <v/>
      </c>
      <c r="P405" s="66" t="str">
        <f aca="false">IF($A405="","",IF(AND($H405&lt;&gt;"",$H405&gt;=Targets!$C$7,$H405&lt;=Targets!$C$8),"Yes","No"))</f>
        <v/>
      </c>
      <c r="Q405" s="66" t="str">
        <f aca="false">IF($A405="","",IF(AND($F405="Project",$E405&lt;&gt;"Closed",$E405&lt;&gt;"Dormant"),"Yes","No"))</f>
        <v/>
      </c>
      <c r="R405" s="66" t="str">
        <f aca="false">IF($A405="","",IF(AND($L405="In-house",OR($E405="Intake",$E405="Active",$E405="Waiting")),"Yes","No"))</f>
        <v/>
      </c>
      <c r="S405" s="66" t="str">
        <f aca="false">IF($A405="","",$C405&amp;" | "&amp;$D405)</f>
        <v/>
      </c>
      <c r="T405" s="66" t="str">
        <f aca="false">IF($A405="","",IF(AND($L405="Outside provider",OR($E405="Intake",$E405="Active",$E405="Waiting")),"Yes","No"))</f>
        <v/>
      </c>
    </row>
    <row r="406" customFormat="false" ht="15" hidden="false" customHeight="true" outlineLevel="0" collapsed="false">
      <c r="A406" s="63"/>
      <c r="B406" s="63"/>
      <c r="C406" s="63"/>
      <c r="D406" s="63"/>
      <c r="E406" s="63" t="str">
        <f aca="false">IF($A406="","",IFERROR(INDEX('Status map'!$D$6:$D$64,MATCH($C406&amp;" | "&amp;$D406,'Status map'!$I$6:$I$64,0)),"Unmapped"))</f>
        <v/>
      </c>
      <c r="F406" s="63"/>
      <c r="G406" s="69"/>
      <c r="H406" s="69"/>
      <c r="I406" s="69"/>
      <c r="J406" s="63"/>
      <c r="K406" s="63"/>
      <c r="L406" s="63"/>
      <c r="M406" s="66" t="str">
        <f aca="false">IF(OR($A406="",$H406&lt;&gt;""),"",Targets!$C$8-$I406)</f>
        <v/>
      </c>
      <c r="N406" s="66" t="str">
        <f aca="false">IF($A406="","",IF(AND($F406="Project",$E406="Active",$M406&lt;&gt;"",$M406&gt;Targets!$C$12),"Yes","No"))</f>
        <v/>
      </c>
      <c r="O406" s="66" t="str">
        <f aca="false">IF($A406="","",IF(AND($G406&gt;=Targets!$C$7,$G406&lt;=Targets!$C$8),"Yes","No"))</f>
        <v/>
      </c>
      <c r="P406" s="66" t="str">
        <f aca="false">IF($A406="","",IF(AND($H406&lt;&gt;"",$H406&gt;=Targets!$C$7,$H406&lt;=Targets!$C$8),"Yes","No"))</f>
        <v/>
      </c>
      <c r="Q406" s="66" t="str">
        <f aca="false">IF($A406="","",IF(AND($F406="Project",$E406&lt;&gt;"Closed",$E406&lt;&gt;"Dormant"),"Yes","No"))</f>
        <v/>
      </c>
      <c r="R406" s="66" t="str">
        <f aca="false">IF($A406="","",IF(AND($L406="In-house",OR($E406="Intake",$E406="Active",$E406="Waiting")),"Yes","No"))</f>
        <v/>
      </c>
      <c r="S406" s="66" t="str">
        <f aca="false">IF($A406="","",$C406&amp;" | "&amp;$D406)</f>
        <v/>
      </c>
      <c r="T406" s="66" t="str">
        <f aca="false">IF($A406="","",IF(AND($L406="Outside provider",OR($E406="Intake",$E406="Active",$E406="Waiting")),"Yes","No"))</f>
        <v/>
      </c>
    </row>
    <row r="407" customFormat="false" ht="15" hidden="false" customHeight="true" outlineLevel="0" collapsed="false">
      <c r="A407" s="67"/>
      <c r="B407" s="67"/>
      <c r="C407" s="67"/>
      <c r="D407" s="67"/>
      <c r="E407" s="67" t="str">
        <f aca="false">IF($A407="","",IFERROR(INDEX('Status map'!$D$6:$D$64,MATCH($C407&amp;" | "&amp;$D407,'Status map'!$I$6:$I$64,0)),"Unmapped"))</f>
        <v/>
      </c>
      <c r="F407" s="67"/>
      <c r="G407" s="70"/>
      <c r="H407" s="70"/>
      <c r="I407" s="70"/>
      <c r="J407" s="67"/>
      <c r="K407" s="67"/>
      <c r="L407" s="67"/>
      <c r="M407" s="66" t="str">
        <f aca="false">IF(OR($A407="",$H407&lt;&gt;""),"",Targets!$C$8-$I407)</f>
        <v/>
      </c>
      <c r="N407" s="66" t="str">
        <f aca="false">IF($A407="","",IF(AND($F407="Project",$E407="Active",$M407&lt;&gt;"",$M407&gt;Targets!$C$12),"Yes","No"))</f>
        <v/>
      </c>
      <c r="O407" s="66" t="str">
        <f aca="false">IF($A407="","",IF(AND($G407&gt;=Targets!$C$7,$G407&lt;=Targets!$C$8),"Yes","No"))</f>
        <v/>
      </c>
      <c r="P407" s="66" t="str">
        <f aca="false">IF($A407="","",IF(AND($H407&lt;&gt;"",$H407&gt;=Targets!$C$7,$H407&lt;=Targets!$C$8),"Yes","No"))</f>
        <v/>
      </c>
      <c r="Q407" s="66" t="str">
        <f aca="false">IF($A407="","",IF(AND($F407="Project",$E407&lt;&gt;"Closed",$E407&lt;&gt;"Dormant"),"Yes","No"))</f>
        <v/>
      </c>
      <c r="R407" s="66" t="str">
        <f aca="false">IF($A407="","",IF(AND($L407="In-house",OR($E407="Intake",$E407="Active",$E407="Waiting")),"Yes","No"))</f>
        <v/>
      </c>
      <c r="S407" s="66" t="str">
        <f aca="false">IF($A407="","",$C407&amp;" | "&amp;$D407)</f>
        <v/>
      </c>
      <c r="T407" s="66" t="str">
        <f aca="false">IF($A407="","",IF(AND($L407="Outside provider",OR($E407="Intake",$E407="Active",$E407="Waiting")),"Yes","No"))</f>
        <v/>
      </c>
    </row>
    <row r="408" customFormat="false" ht="15" hidden="false" customHeight="true" outlineLevel="0" collapsed="false">
      <c r="A408" s="63"/>
      <c r="B408" s="63"/>
      <c r="C408" s="63"/>
      <c r="D408" s="63"/>
      <c r="E408" s="63" t="str">
        <f aca="false">IF($A408="","",IFERROR(INDEX('Status map'!$D$6:$D$64,MATCH($C408&amp;" | "&amp;$D408,'Status map'!$I$6:$I$64,0)),"Unmapped"))</f>
        <v/>
      </c>
      <c r="F408" s="63"/>
      <c r="G408" s="69"/>
      <c r="H408" s="69"/>
      <c r="I408" s="69"/>
      <c r="J408" s="63"/>
      <c r="K408" s="63"/>
      <c r="L408" s="63"/>
      <c r="M408" s="66" t="str">
        <f aca="false">IF(OR($A408="",$H408&lt;&gt;""),"",Targets!$C$8-$I408)</f>
        <v/>
      </c>
      <c r="N408" s="66" t="str">
        <f aca="false">IF($A408="","",IF(AND($F408="Project",$E408="Active",$M408&lt;&gt;"",$M408&gt;Targets!$C$12),"Yes","No"))</f>
        <v/>
      </c>
      <c r="O408" s="66" t="str">
        <f aca="false">IF($A408="","",IF(AND($G408&gt;=Targets!$C$7,$G408&lt;=Targets!$C$8),"Yes","No"))</f>
        <v/>
      </c>
      <c r="P408" s="66" t="str">
        <f aca="false">IF($A408="","",IF(AND($H408&lt;&gt;"",$H408&gt;=Targets!$C$7,$H408&lt;=Targets!$C$8),"Yes","No"))</f>
        <v/>
      </c>
      <c r="Q408" s="66" t="str">
        <f aca="false">IF($A408="","",IF(AND($F408="Project",$E408&lt;&gt;"Closed",$E408&lt;&gt;"Dormant"),"Yes","No"))</f>
        <v/>
      </c>
      <c r="R408" s="66" t="str">
        <f aca="false">IF($A408="","",IF(AND($L408="In-house",OR($E408="Intake",$E408="Active",$E408="Waiting")),"Yes","No"))</f>
        <v/>
      </c>
      <c r="S408" s="66" t="str">
        <f aca="false">IF($A408="","",$C408&amp;" | "&amp;$D408)</f>
        <v/>
      </c>
      <c r="T408" s="66" t="str">
        <f aca="false">IF($A408="","",IF(AND($L408="Outside provider",OR($E408="Intake",$E408="Active",$E408="Waiting")),"Yes","No"))</f>
        <v/>
      </c>
    </row>
    <row r="409" customFormat="false" ht="15" hidden="false" customHeight="true" outlineLevel="0" collapsed="false">
      <c r="A409" s="67"/>
      <c r="B409" s="67"/>
      <c r="C409" s="67"/>
      <c r="D409" s="67"/>
      <c r="E409" s="67" t="str">
        <f aca="false">IF($A409="","",IFERROR(INDEX('Status map'!$D$6:$D$64,MATCH($C409&amp;" | "&amp;$D409,'Status map'!$I$6:$I$64,0)),"Unmapped"))</f>
        <v/>
      </c>
      <c r="F409" s="67"/>
      <c r="G409" s="70"/>
      <c r="H409" s="70"/>
      <c r="I409" s="70"/>
      <c r="J409" s="67"/>
      <c r="K409" s="67"/>
      <c r="L409" s="67"/>
      <c r="M409" s="66" t="str">
        <f aca="false">IF(OR($A409="",$H409&lt;&gt;""),"",Targets!$C$8-$I409)</f>
        <v/>
      </c>
      <c r="N409" s="66" t="str">
        <f aca="false">IF($A409="","",IF(AND($F409="Project",$E409="Active",$M409&lt;&gt;"",$M409&gt;Targets!$C$12),"Yes","No"))</f>
        <v/>
      </c>
      <c r="O409" s="66" t="str">
        <f aca="false">IF($A409="","",IF(AND($G409&gt;=Targets!$C$7,$G409&lt;=Targets!$C$8),"Yes","No"))</f>
        <v/>
      </c>
      <c r="P409" s="66" t="str">
        <f aca="false">IF($A409="","",IF(AND($H409&lt;&gt;"",$H409&gt;=Targets!$C$7,$H409&lt;=Targets!$C$8),"Yes","No"))</f>
        <v/>
      </c>
      <c r="Q409" s="66" t="str">
        <f aca="false">IF($A409="","",IF(AND($F409="Project",$E409&lt;&gt;"Closed",$E409&lt;&gt;"Dormant"),"Yes","No"))</f>
        <v/>
      </c>
      <c r="R409" s="66" t="str">
        <f aca="false">IF($A409="","",IF(AND($L409="In-house",OR($E409="Intake",$E409="Active",$E409="Waiting")),"Yes","No"))</f>
        <v/>
      </c>
      <c r="S409" s="66" t="str">
        <f aca="false">IF($A409="","",$C409&amp;" | "&amp;$D409)</f>
        <v/>
      </c>
      <c r="T409" s="66" t="str">
        <f aca="false">IF($A409="","",IF(AND($L409="Outside provider",OR($E409="Intake",$E409="Active",$E409="Waiting")),"Yes","No"))</f>
        <v/>
      </c>
    </row>
    <row r="410" customFormat="false" ht="15" hidden="false" customHeight="true" outlineLevel="0" collapsed="false">
      <c r="A410" s="63"/>
      <c r="B410" s="63"/>
      <c r="C410" s="63"/>
      <c r="D410" s="63"/>
      <c r="E410" s="63" t="str">
        <f aca="false">IF($A410="","",IFERROR(INDEX('Status map'!$D$6:$D$64,MATCH($C410&amp;" | "&amp;$D410,'Status map'!$I$6:$I$64,0)),"Unmapped"))</f>
        <v/>
      </c>
      <c r="F410" s="63"/>
      <c r="G410" s="69"/>
      <c r="H410" s="69"/>
      <c r="I410" s="69"/>
      <c r="J410" s="63"/>
      <c r="K410" s="63"/>
      <c r="L410" s="63"/>
      <c r="M410" s="66" t="str">
        <f aca="false">IF(OR($A410="",$H410&lt;&gt;""),"",Targets!$C$8-$I410)</f>
        <v/>
      </c>
      <c r="N410" s="66" t="str">
        <f aca="false">IF($A410="","",IF(AND($F410="Project",$E410="Active",$M410&lt;&gt;"",$M410&gt;Targets!$C$12),"Yes","No"))</f>
        <v/>
      </c>
      <c r="O410" s="66" t="str">
        <f aca="false">IF($A410="","",IF(AND($G410&gt;=Targets!$C$7,$G410&lt;=Targets!$C$8),"Yes","No"))</f>
        <v/>
      </c>
      <c r="P410" s="66" t="str">
        <f aca="false">IF($A410="","",IF(AND($H410&lt;&gt;"",$H410&gt;=Targets!$C$7,$H410&lt;=Targets!$C$8),"Yes","No"))</f>
        <v/>
      </c>
      <c r="Q410" s="66" t="str">
        <f aca="false">IF($A410="","",IF(AND($F410="Project",$E410&lt;&gt;"Closed",$E410&lt;&gt;"Dormant"),"Yes","No"))</f>
        <v/>
      </c>
      <c r="R410" s="66" t="str">
        <f aca="false">IF($A410="","",IF(AND($L410="In-house",OR($E410="Intake",$E410="Active",$E410="Waiting")),"Yes","No"))</f>
        <v/>
      </c>
      <c r="S410" s="66" t="str">
        <f aca="false">IF($A410="","",$C410&amp;" | "&amp;$D410)</f>
        <v/>
      </c>
      <c r="T410" s="66" t="str">
        <f aca="false">IF($A410="","",IF(AND($L410="Outside provider",OR($E410="Intake",$E410="Active",$E410="Waiting")),"Yes","No"))</f>
        <v/>
      </c>
    </row>
    <row r="411" customFormat="false" ht="15" hidden="false" customHeight="true" outlineLevel="0" collapsed="false">
      <c r="A411" s="67"/>
      <c r="B411" s="67"/>
      <c r="C411" s="67"/>
      <c r="D411" s="67"/>
      <c r="E411" s="67" t="str">
        <f aca="false">IF($A411="","",IFERROR(INDEX('Status map'!$D$6:$D$64,MATCH($C411&amp;" | "&amp;$D411,'Status map'!$I$6:$I$64,0)),"Unmapped"))</f>
        <v/>
      </c>
      <c r="F411" s="67"/>
      <c r="G411" s="70"/>
      <c r="H411" s="70"/>
      <c r="I411" s="70"/>
      <c r="J411" s="67"/>
      <c r="K411" s="67"/>
      <c r="L411" s="67"/>
      <c r="M411" s="66" t="str">
        <f aca="false">IF(OR($A411="",$H411&lt;&gt;""),"",Targets!$C$8-$I411)</f>
        <v/>
      </c>
      <c r="N411" s="66" t="str">
        <f aca="false">IF($A411="","",IF(AND($F411="Project",$E411="Active",$M411&lt;&gt;"",$M411&gt;Targets!$C$12),"Yes","No"))</f>
        <v/>
      </c>
      <c r="O411" s="66" t="str">
        <f aca="false">IF($A411="","",IF(AND($G411&gt;=Targets!$C$7,$G411&lt;=Targets!$C$8),"Yes","No"))</f>
        <v/>
      </c>
      <c r="P411" s="66" t="str">
        <f aca="false">IF($A411="","",IF(AND($H411&lt;&gt;"",$H411&gt;=Targets!$C$7,$H411&lt;=Targets!$C$8),"Yes","No"))</f>
        <v/>
      </c>
      <c r="Q411" s="66" t="str">
        <f aca="false">IF($A411="","",IF(AND($F411="Project",$E411&lt;&gt;"Closed",$E411&lt;&gt;"Dormant"),"Yes","No"))</f>
        <v/>
      </c>
      <c r="R411" s="66" t="str">
        <f aca="false">IF($A411="","",IF(AND($L411="In-house",OR($E411="Intake",$E411="Active",$E411="Waiting")),"Yes","No"))</f>
        <v/>
      </c>
      <c r="S411" s="66" t="str">
        <f aca="false">IF($A411="","",$C411&amp;" | "&amp;$D411)</f>
        <v/>
      </c>
      <c r="T411" s="66" t="str">
        <f aca="false">IF($A411="","",IF(AND($L411="Outside provider",OR($E411="Intake",$E411="Active",$E411="Waiting")),"Yes","No"))</f>
        <v/>
      </c>
    </row>
    <row r="412" customFormat="false" ht="15" hidden="false" customHeight="true" outlineLevel="0" collapsed="false">
      <c r="A412" s="63"/>
      <c r="B412" s="63"/>
      <c r="C412" s="63"/>
      <c r="D412" s="63"/>
      <c r="E412" s="63" t="str">
        <f aca="false">IF($A412="","",IFERROR(INDEX('Status map'!$D$6:$D$64,MATCH($C412&amp;" | "&amp;$D412,'Status map'!$I$6:$I$64,0)),"Unmapped"))</f>
        <v/>
      </c>
      <c r="F412" s="63"/>
      <c r="G412" s="69"/>
      <c r="H412" s="69"/>
      <c r="I412" s="69"/>
      <c r="J412" s="63"/>
      <c r="K412" s="63"/>
      <c r="L412" s="63"/>
      <c r="M412" s="66" t="str">
        <f aca="false">IF(OR($A412="",$H412&lt;&gt;""),"",Targets!$C$8-$I412)</f>
        <v/>
      </c>
      <c r="N412" s="66" t="str">
        <f aca="false">IF($A412="","",IF(AND($F412="Project",$E412="Active",$M412&lt;&gt;"",$M412&gt;Targets!$C$12),"Yes","No"))</f>
        <v/>
      </c>
      <c r="O412" s="66" t="str">
        <f aca="false">IF($A412="","",IF(AND($G412&gt;=Targets!$C$7,$G412&lt;=Targets!$C$8),"Yes","No"))</f>
        <v/>
      </c>
      <c r="P412" s="66" t="str">
        <f aca="false">IF($A412="","",IF(AND($H412&lt;&gt;"",$H412&gt;=Targets!$C$7,$H412&lt;=Targets!$C$8),"Yes","No"))</f>
        <v/>
      </c>
      <c r="Q412" s="66" t="str">
        <f aca="false">IF($A412="","",IF(AND($F412="Project",$E412&lt;&gt;"Closed",$E412&lt;&gt;"Dormant"),"Yes","No"))</f>
        <v/>
      </c>
      <c r="R412" s="66" t="str">
        <f aca="false">IF($A412="","",IF(AND($L412="In-house",OR($E412="Intake",$E412="Active",$E412="Waiting")),"Yes","No"))</f>
        <v/>
      </c>
      <c r="S412" s="66" t="str">
        <f aca="false">IF($A412="","",$C412&amp;" | "&amp;$D412)</f>
        <v/>
      </c>
      <c r="T412" s="66" t="str">
        <f aca="false">IF($A412="","",IF(AND($L412="Outside provider",OR($E412="Intake",$E412="Active",$E412="Waiting")),"Yes","No"))</f>
        <v/>
      </c>
    </row>
    <row r="413" customFormat="false" ht="15" hidden="false" customHeight="true" outlineLevel="0" collapsed="false">
      <c r="A413" s="67"/>
      <c r="B413" s="67"/>
      <c r="C413" s="67"/>
      <c r="D413" s="67"/>
      <c r="E413" s="67" t="str">
        <f aca="false">IF($A413="","",IFERROR(INDEX('Status map'!$D$6:$D$64,MATCH($C413&amp;" | "&amp;$D413,'Status map'!$I$6:$I$64,0)),"Unmapped"))</f>
        <v/>
      </c>
      <c r="F413" s="67"/>
      <c r="G413" s="70"/>
      <c r="H413" s="70"/>
      <c r="I413" s="70"/>
      <c r="J413" s="67"/>
      <c r="K413" s="67"/>
      <c r="L413" s="67"/>
      <c r="M413" s="66" t="str">
        <f aca="false">IF(OR($A413="",$H413&lt;&gt;""),"",Targets!$C$8-$I413)</f>
        <v/>
      </c>
      <c r="N413" s="66" t="str">
        <f aca="false">IF($A413="","",IF(AND($F413="Project",$E413="Active",$M413&lt;&gt;"",$M413&gt;Targets!$C$12),"Yes","No"))</f>
        <v/>
      </c>
      <c r="O413" s="66" t="str">
        <f aca="false">IF($A413="","",IF(AND($G413&gt;=Targets!$C$7,$G413&lt;=Targets!$C$8),"Yes","No"))</f>
        <v/>
      </c>
      <c r="P413" s="66" t="str">
        <f aca="false">IF($A413="","",IF(AND($H413&lt;&gt;"",$H413&gt;=Targets!$C$7,$H413&lt;=Targets!$C$8),"Yes","No"))</f>
        <v/>
      </c>
      <c r="Q413" s="66" t="str">
        <f aca="false">IF($A413="","",IF(AND($F413="Project",$E413&lt;&gt;"Closed",$E413&lt;&gt;"Dormant"),"Yes","No"))</f>
        <v/>
      </c>
      <c r="R413" s="66" t="str">
        <f aca="false">IF($A413="","",IF(AND($L413="In-house",OR($E413="Intake",$E413="Active",$E413="Waiting")),"Yes","No"))</f>
        <v/>
      </c>
      <c r="S413" s="66" t="str">
        <f aca="false">IF($A413="","",$C413&amp;" | "&amp;$D413)</f>
        <v/>
      </c>
      <c r="T413" s="66" t="str">
        <f aca="false">IF($A413="","",IF(AND($L413="Outside provider",OR($E413="Intake",$E413="Active",$E413="Waiting")),"Yes","No"))</f>
        <v/>
      </c>
    </row>
    <row r="414" customFormat="false" ht="15" hidden="false" customHeight="true" outlineLevel="0" collapsed="false">
      <c r="A414" s="63"/>
      <c r="B414" s="63"/>
      <c r="C414" s="63"/>
      <c r="D414" s="63"/>
      <c r="E414" s="63" t="str">
        <f aca="false">IF($A414="","",IFERROR(INDEX('Status map'!$D$6:$D$64,MATCH($C414&amp;" | "&amp;$D414,'Status map'!$I$6:$I$64,0)),"Unmapped"))</f>
        <v/>
      </c>
      <c r="F414" s="63"/>
      <c r="G414" s="69"/>
      <c r="H414" s="69"/>
      <c r="I414" s="69"/>
      <c r="J414" s="63"/>
      <c r="K414" s="63"/>
      <c r="L414" s="63"/>
      <c r="M414" s="66" t="str">
        <f aca="false">IF(OR($A414="",$H414&lt;&gt;""),"",Targets!$C$8-$I414)</f>
        <v/>
      </c>
      <c r="N414" s="66" t="str">
        <f aca="false">IF($A414="","",IF(AND($F414="Project",$E414="Active",$M414&lt;&gt;"",$M414&gt;Targets!$C$12),"Yes","No"))</f>
        <v/>
      </c>
      <c r="O414" s="66" t="str">
        <f aca="false">IF($A414="","",IF(AND($G414&gt;=Targets!$C$7,$G414&lt;=Targets!$C$8),"Yes","No"))</f>
        <v/>
      </c>
      <c r="P414" s="66" t="str">
        <f aca="false">IF($A414="","",IF(AND($H414&lt;&gt;"",$H414&gt;=Targets!$C$7,$H414&lt;=Targets!$C$8),"Yes","No"))</f>
        <v/>
      </c>
      <c r="Q414" s="66" t="str">
        <f aca="false">IF($A414="","",IF(AND($F414="Project",$E414&lt;&gt;"Closed",$E414&lt;&gt;"Dormant"),"Yes","No"))</f>
        <v/>
      </c>
      <c r="R414" s="66" t="str">
        <f aca="false">IF($A414="","",IF(AND($L414="In-house",OR($E414="Intake",$E414="Active",$E414="Waiting")),"Yes","No"))</f>
        <v/>
      </c>
      <c r="S414" s="66" t="str">
        <f aca="false">IF($A414="","",$C414&amp;" | "&amp;$D414)</f>
        <v/>
      </c>
      <c r="T414" s="66" t="str">
        <f aca="false">IF($A414="","",IF(AND($L414="Outside provider",OR($E414="Intake",$E414="Active",$E414="Waiting")),"Yes","No"))</f>
        <v/>
      </c>
    </row>
    <row r="415" customFormat="false" ht="15" hidden="false" customHeight="true" outlineLevel="0" collapsed="false">
      <c r="A415" s="67"/>
      <c r="B415" s="67"/>
      <c r="C415" s="67"/>
      <c r="D415" s="67"/>
      <c r="E415" s="67" t="str">
        <f aca="false">IF($A415="","",IFERROR(INDEX('Status map'!$D$6:$D$64,MATCH($C415&amp;" | "&amp;$D415,'Status map'!$I$6:$I$64,0)),"Unmapped"))</f>
        <v/>
      </c>
      <c r="F415" s="67"/>
      <c r="G415" s="70"/>
      <c r="H415" s="70"/>
      <c r="I415" s="70"/>
      <c r="J415" s="67"/>
      <c r="K415" s="67"/>
      <c r="L415" s="67"/>
      <c r="M415" s="66" t="str">
        <f aca="false">IF(OR($A415="",$H415&lt;&gt;""),"",Targets!$C$8-$I415)</f>
        <v/>
      </c>
      <c r="N415" s="66" t="str">
        <f aca="false">IF($A415="","",IF(AND($F415="Project",$E415="Active",$M415&lt;&gt;"",$M415&gt;Targets!$C$12),"Yes","No"))</f>
        <v/>
      </c>
      <c r="O415" s="66" t="str">
        <f aca="false">IF($A415="","",IF(AND($G415&gt;=Targets!$C$7,$G415&lt;=Targets!$C$8),"Yes","No"))</f>
        <v/>
      </c>
      <c r="P415" s="66" t="str">
        <f aca="false">IF($A415="","",IF(AND($H415&lt;&gt;"",$H415&gt;=Targets!$C$7,$H415&lt;=Targets!$C$8),"Yes","No"))</f>
        <v/>
      </c>
      <c r="Q415" s="66" t="str">
        <f aca="false">IF($A415="","",IF(AND($F415="Project",$E415&lt;&gt;"Closed",$E415&lt;&gt;"Dormant"),"Yes","No"))</f>
        <v/>
      </c>
      <c r="R415" s="66" t="str">
        <f aca="false">IF($A415="","",IF(AND($L415="In-house",OR($E415="Intake",$E415="Active",$E415="Waiting")),"Yes","No"))</f>
        <v/>
      </c>
      <c r="S415" s="66" t="str">
        <f aca="false">IF($A415="","",$C415&amp;" | "&amp;$D415)</f>
        <v/>
      </c>
      <c r="T415" s="66" t="str">
        <f aca="false">IF($A415="","",IF(AND($L415="Outside provider",OR($E415="Intake",$E415="Active",$E415="Waiting")),"Yes","No"))</f>
        <v/>
      </c>
    </row>
    <row r="416" customFormat="false" ht="15" hidden="false" customHeight="true" outlineLevel="0" collapsed="false">
      <c r="A416" s="63"/>
      <c r="B416" s="63"/>
      <c r="C416" s="63"/>
      <c r="D416" s="63"/>
      <c r="E416" s="63" t="str">
        <f aca="false">IF($A416="","",IFERROR(INDEX('Status map'!$D$6:$D$64,MATCH($C416&amp;" | "&amp;$D416,'Status map'!$I$6:$I$64,0)),"Unmapped"))</f>
        <v/>
      </c>
      <c r="F416" s="63"/>
      <c r="G416" s="69"/>
      <c r="H416" s="69"/>
      <c r="I416" s="69"/>
      <c r="J416" s="63"/>
      <c r="K416" s="63"/>
      <c r="L416" s="63"/>
      <c r="M416" s="66" t="str">
        <f aca="false">IF(OR($A416="",$H416&lt;&gt;""),"",Targets!$C$8-$I416)</f>
        <v/>
      </c>
      <c r="N416" s="66" t="str">
        <f aca="false">IF($A416="","",IF(AND($F416="Project",$E416="Active",$M416&lt;&gt;"",$M416&gt;Targets!$C$12),"Yes","No"))</f>
        <v/>
      </c>
      <c r="O416" s="66" t="str">
        <f aca="false">IF($A416="","",IF(AND($G416&gt;=Targets!$C$7,$G416&lt;=Targets!$C$8),"Yes","No"))</f>
        <v/>
      </c>
      <c r="P416" s="66" t="str">
        <f aca="false">IF($A416="","",IF(AND($H416&lt;&gt;"",$H416&gt;=Targets!$C$7,$H416&lt;=Targets!$C$8),"Yes","No"))</f>
        <v/>
      </c>
      <c r="Q416" s="66" t="str">
        <f aca="false">IF($A416="","",IF(AND($F416="Project",$E416&lt;&gt;"Closed",$E416&lt;&gt;"Dormant"),"Yes","No"))</f>
        <v/>
      </c>
      <c r="R416" s="66" t="str">
        <f aca="false">IF($A416="","",IF(AND($L416="In-house",OR($E416="Intake",$E416="Active",$E416="Waiting")),"Yes","No"))</f>
        <v/>
      </c>
      <c r="S416" s="66" t="str">
        <f aca="false">IF($A416="","",$C416&amp;" | "&amp;$D416)</f>
        <v/>
      </c>
      <c r="T416" s="66" t="str">
        <f aca="false">IF($A416="","",IF(AND($L416="Outside provider",OR($E416="Intake",$E416="Active",$E416="Waiting")),"Yes","No"))</f>
        <v/>
      </c>
    </row>
    <row r="417" customFormat="false" ht="15" hidden="false" customHeight="true" outlineLevel="0" collapsed="false">
      <c r="A417" s="67"/>
      <c r="B417" s="67"/>
      <c r="C417" s="67"/>
      <c r="D417" s="67"/>
      <c r="E417" s="67" t="str">
        <f aca="false">IF($A417="","",IFERROR(INDEX('Status map'!$D$6:$D$64,MATCH($C417&amp;" | "&amp;$D417,'Status map'!$I$6:$I$64,0)),"Unmapped"))</f>
        <v/>
      </c>
      <c r="F417" s="67"/>
      <c r="G417" s="70"/>
      <c r="H417" s="70"/>
      <c r="I417" s="70"/>
      <c r="J417" s="67"/>
      <c r="K417" s="67"/>
      <c r="L417" s="67"/>
      <c r="M417" s="66" t="str">
        <f aca="false">IF(OR($A417="",$H417&lt;&gt;""),"",Targets!$C$8-$I417)</f>
        <v/>
      </c>
      <c r="N417" s="66" t="str">
        <f aca="false">IF($A417="","",IF(AND($F417="Project",$E417="Active",$M417&lt;&gt;"",$M417&gt;Targets!$C$12),"Yes","No"))</f>
        <v/>
      </c>
      <c r="O417" s="66" t="str">
        <f aca="false">IF($A417="","",IF(AND($G417&gt;=Targets!$C$7,$G417&lt;=Targets!$C$8),"Yes","No"))</f>
        <v/>
      </c>
      <c r="P417" s="66" t="str">
        <f aca="false">IF($A417="","",IF(AND($H417&lt;&gt;"",$H417&gt;=Targets!$C$7,$H417&lt;=Targets!$C$8),"Yes","No"))</f>
        <v/>
      </c>
      <c r="Q417" s="66" t="str">
        <f aca="false">IF($A417="","",IF(AND($F417="Project",$E417&lt;&gt;"Closed",$E417&lt;&gt;"Dormant"),"Yes","No"))</f>
        <v/>
      </c>
      <c r="R417" s="66" t="str">
        <f aca="false">IF($A417="","",IF(AND($L417="In-house",OR($E417="Intake",$E417="Active",$E417="Waiting")),"Yes","No"))</f>
        <v/>
      </c>
      <c r="S417" s="66" t="str">
        <f aca="false">IF($A417="","",$C417&amp;" | "&amp;$D417)</f>
        <v/>
      </c>
      <c r="T417" s="66" t="str">
        <f aca="false">IF($A417="","",IF(AND($L417="Outside provider",OR($E417="Intake",$E417="Active",$E417="Waiting")),"Yes","No"))</f>
        <v/>
      </c>
    </row>
    <row r="418" customFormat="false" ht="15" hidden="false" customHeight="true" outlineLevel="0" collapsed="false">
      <c r="A418" s="63"/>
      <c r="B418" s="63"/>
      <c r="C418" s="63"/>
      <c r="D418" s="63"/>
      <c r="E418" s="63" t="str">
        <f aca="false">IF($A418="","",IFERROR(INDEX('Status map'!$D$6:$D$64,MATCH($C418&amp;" | "&amp;$D418,'Status map'!$I$6:$I$64,0)),"Unmapped"))</f>
        <v/>
      </c>
      <c r="F418" s="63"/>
      <c r="G418" s="69"/>
      <c r="H418" s="69"/>
      <c r="I418" s="69"/>
      <c r="J418" s="63"/>
      <c r="K418" s="63"/>
      <c r="L418" s="63"/>
      <c r="M418" s="66" t="str">
        <f aca="false">IF(OR($A418="",$H418&lt;&gt;""),"",Targets!$C$8-$I418)</f>
        <v/>
      </c>
      <c r="N418" s="66" t="str">
        <f aca="false">IF($A418="","",IF(AND($F418="Project",$E418="Active",$M418&lt;&gt;"",$M418&gt;Targets!$C$12),"Yes","No"))</f>
        <v/>
      </c>
      <c r="O418" s="66" t="str">
        <f aca="false">IF($A418="","",IF(AND($G418&gt;=Targets!$C$7,$G418&lt;=Targets!$C$8),"Yes","No"))</f>
        <v/>
      </c>
      <c r="P418" s="66" t="str">
        <f aca="false">IF($A418="","",IF(AND($H418&lt;&gt;"",$H418&gt;=Targets!$C$7,$H418&lt;=Targets!$C$8),"Yes","No"))</f>
        <v/>
      </c>
      <c r="Q418" s="66" t="str">
        <f aca="false">IF($A418="","",IF(AND($F418="Project",$E418&lt;&gt;"Closed",$E418&lt;&gt;"Dormant"),"Yes","No"))</f>
        <v/>
      </c>
      <c r="R418" s="66" t="str">
        <f aca="false">IF($A418="","",IF(AND($L418="In-house",OR($E418="Intake",$E418="Active",$E418="Waiting")),"Yes","No"))</f>
        <v/>
      </c>
      <c r="S418" s="66" t="str">
        <f aca="false">IF($A418="","",$C418&amp;" | "&amp;$D418)</f>
        <v/>
      </c>
      <c r="T418" s="66" t="str">
        <f aca="false">IF($A418="","",IF(AND($L418="Outside provider",OR($E418="Intake",$E418="Active",$E418="Waiting")),"Yes","No"))</f>
        <v/>
      </c>
    </row>
    <row r="419" customFormat="false" ht="15" hidden="false" customHeight="true" outlineLevel="0" collapsed="false">
      <c r="A419" s="67"/>
      <c r="B419" s="67"/>
      <c r="C419" s="67"/>
      <c r="D419" s="67"/>
      <c r="E419" s="67" t="str">
        <f aca="false">IF($A419="","",IFERROR(INDEX('Status map'!$D$6:$D$64,MATCH($C419&amp;" | "&amp;$D419,'Status map'!$I$6:$I$64,0)),"Unmapped"))</f>
        <v/>
      </c>
      <c r="F419" s="67"/>
      <c r="G419" s="70"/>
      <c r="H419" s="70"/>
      <c r="I419" s="70"/>
      <c r="J419" s="67"/>
      <c r="K419" s="67"/>
      <c r="L419" s="67"/>
      <c r="M419" s="66" t="str">
        <f aca="false">IF(OR($A419="",$H419&lt;&gt;""),"",Targets!$C$8-$I419)</f>
        <v/>
      </c>
      <c r="N419" s="66" t="str">
        <f aca="false">IF($A419="","",IF(AND($F419="Project",$E419="Active",$M419&lt;&gt;"",$M419&gt;Targets!$C$12),"Yes","No"))</f>
        <v/>
      </c>
      <c r="O419" s="66" t="str">
        <f aca="false">IF($A419="","",IF(AND($G419&gt;=Targets!$C$7,$G419&lt;=Targets!$C$8),"Yes","No"))</f>
        <v/>
      </c>
      <c r="P419" s="66" t="str">
        <f aca="false">IF($A419="","",IF(AND($H419&lt;&gt;"",$H419&gt;=Targets!$C$7,$H419&lt;=Targets!$C$8),"Yes","No"))</f>
        <v/>
      </c>
      <c r="Q419" s="66" t="str">
        <f aca="false">IF($A419="","",IF(AND($F419="Project",$E419&lt;&gt;"Closed",$E419&lt;&gt;"Dormant"),"Yes","No"))</f>
        <v/>
      </c>
      <c r="R419" s="66" t="str">
        <f aca="false">IF($A419="","",IF(AND($L419="In-house",OR($E419="Intake",$E419="Active",$E419="Waiting")),"Yes","No"))</f>
        <v/>
      </c>
      <c r="S419" s="66" t="str">
        <f aca="false">IF($A419="","",$C419&amp;" | "&amp;$D419)</f>
        <v/>
      </c>
      <c r="T419" s="66" t="str">
        <f aca="false">IF($A419="","",IF(AND($L419="Outside provider",OR($E419="Intake",$E419="Active",$E419="Waiting")),"Yes","No"))</f>
        <v/>
      </c>
    </row>
    <row r="420" customFormat="false" ht="15" hidden="false" customHeight="true" outlineLevel="0" collapsed="false">
      <c r="A420" s="63"/>
      <c r="B420" s="63"/>
      <c r="C420" s="63"/>
      <c r="D420" s="63"/>
      <c r="E420" s="63" t="str">
        <f aca="false">IF($A420="","",IFERROR(INDEX('Status map'!$D$6:$D$64,MATCH($C420&amp;" | "&amp;$D420,'Status map'!$I$6:$I$64,0)),"Unmapped"))</f>
        <v/>
      </c>
      <c r="F420" s="63"/>
      <c r="G420" s="69"/>
      <c r="H420" s="69"/>
      <c r="I420" s="69"/>
      <c r="J420" s="63"/>
      <c r="K420" s="63"/>
      <c r="L420" s="63"/>
      <c r="M420" s="66" t="str">
        <f aca="false">IF(OR($A420="",$H420&lt;&gt;""),"",Targets!$C$8-$I420)</f>
        <v/>
      </c>
      <c r="N420" s="66" t="str">
        <f aca="false">IF($A420="","",IF(AND($F420="Project",$E420="Active",$M420&lt;&gt;"",$M420&gt;Targets!$C$12),"Yes","No"))</f>
        <v/>
      </c>
      <c r="O420" s="66" t="str">
        <f aca="false">IF($A420="","",IF(AND($G420&gt;=Targets!$C$7,$G420&lt;=Targets!$C$8),"Yes","No"))</f>
        <v/>
      </c>
      <c r="P420" s="66" t="str">
        <f aca="false">IF($A420="","",IF(AND($H420&lt;&gt;"",$H420&gt;=Targets!$C$7,$H420&lt;=Targets!$C$8),"Yes","No"))</f>
        <v/>
      </c>
      <c r="Q420" s="66" t="str">
        <f aca="false">IF($A420="","",IF(AND($F420="Project",$E420&lt;&gt;"Closed",$E420&lt;&gt;"Dormant"),"Yes","No"))</f>
        <v/>
      </c>
      <c r="R420" s="66" t="str">
        <f aca="false">IF($A420="","",IF(AND($L420="In-house",OR($E420="Intake",$E420="Active",$E420="Waiting")),"Yes","No"))</f>
        <v/>
      </c>
      <c r="S420" s="66" t="str">
        <f aca="false">IF($A420="","",$C420&amp;" | "&amp;$D420)</f>
        <v/>
      </c>
      <c r="T420" s="66" t="str">
        <f aca="false">IF($A420="","",IF(AND($L420="Outside provider",OR($E420="Intake",$E420="Active",$E420="Waiting")),"Yes","No"))</f>
        <v/>
      </c>
    </row>
    <row r="421" customFormat="false" ht="15" hidden="false" customHeight="true" outlineLevel="0" collapsed="false">
      <c r="A421" s="67"/>
      <c r="B421" s="67"/>
      <c r="C421" s="67"/>
      <c r="D421" s="67"/>
      <c r="E421" s="67" t="str">
        <f aca="false">IF($A421="","",IFERROR(INDEX('Status map'!$D$6:$D$64,MATCH($C421&amp;" | "&amp;$D421,'Status map'!$I$6:$I$64,0)),"Unmapped"))</f>
        <v/>
      </c>
      <c r="F421" s="67"/>
      <c r="G421" s="70"/>
      <c r="H421" s="70"/>
      <c r="I421" s="70"/>
      <c r="J421" s="67"/>
      <c r="K421" s="67"/>
      <c r="L421" s="67"/>
      <c r="M421" s="66" t="str">
        <f aca="false">IF(OR($A421="",$H421&lt;&gt;""),"",Targets!$C$8-$I421)</f>
        <v/>
      </c>
      <c r="N421" s="66" t="str">
        <f aca="false">IF($A421="","",IF(AND($F421="Project",$E421="Active",$M421&lt;&gt;"",$M421&gt;Targets!$C$12),"Yes","No"))</f>
        <v/>
      </c>
      <c r="O421" s="66" t="str">
        <f aca="false">IF($A421="","",IF(AND($G421&gt;=Targets!$C$7,$G421&lt;=Targets!$C$8),"Yes","No"))</f>
        <v/>
      </c>
      <c r="P421" s="66" t="str">
        <f aca="false">IF($A421="","",IF(AND($H421&lt;&gt;"",$H421&gt;=Targets!$C$7,$H421&lt;=Targets!$C$8),"Yes","No"))</f>
        <v/>
      </c>
      <c r="Q421" s="66" t="str">
        <f aca="false">IF($A421="","",IF(AND($F421="Project",$E421&lt;&gt;"Closed",$E421&lt;&gt;"Dormant"),"Yes","No"))</f>
        <v/>
      </c>
      <c r="R421" s="66" t="str">
        <f aca="false">IF($A421="","",IF(AND($L421="In-house",OR($E421="Intake",$E421="Active",$E421="Waiting")),"Yes","No"))</f>
        <v/>
      </c>
      <c r="S421" s="66" t="str">
        <f aca="false">IF($A421="","",$C421&amp;" | "&amp;$D421)</f>
        <v/>
      </c>
      <c r="T421" s="66" t="str">
        <f aca="false">IF($A421="","",IF(AND($L421="Outside provider",OR($E421="Intake",$E421="Active",$E421="Waiting")),"Yes","No"))</f>
        <v/>
      </c>
    </row>
    <row r="422" customFormat="false" ht="15" hidden="false" customHeight="true" outlineLevel="0" collapsed="false">
      <c r="A422" s="63"/>
      <c r="B422" s="63"/>
      <c r="C422" s="63"/>
      <c r="D422" s="63"/>
      <c r="E422" s="63" t="str">
        <f aca="false">IF($A422="","",IFERROR(INDEX('Status map'!$D$6:$D$64,MATCH($C422&amp;" | "&amp;$D422,'Status map'!$I$6:$I$64,0)),"Unmapped"))</f>
        <v/>
      </c>
      <c r="F422" s="63"/>
      <c r="G422" s="69"/>
      <c r="H422" s="69"/>
      <c r="I422" s="69"/>
      <c r="J422" s="63"/>
      <c r="K422" s="63"/>
      <c r="L422" s="63"/>
      <c r="M422" s="66" t="str">
        <f aca="false">IF(OR($A422="",$H422&lt;&gt;""),"",Targets!$C$8-$I422)</f>
        <v/>
      </c>
      <c r="N422" s="66" t="str">
        <f aca="false">IF($A422="","",IF(AND($F422="Project",$E422="Active",$M422&lt;&gt;"",$M422&gt;Targets!$C$12),"Yes","No"))</f>
        <v/>
      </c>
      <c r="O422" s="66" t="str">
        <f aca="false">IF($A422="","",IF(AND($G422&gt;=Targets!$C$7,$G422&lt;=Targets!$C$8),"Yes","No"))</f>
        <v/>
      </c>
      <c r="P422" s="66" t="str">
        <f aca="false">IF($A422="","",IF(AND($H422&lt;&gt;"",$H422&gt;=Targets!$C$7,$H422&lt;=Targets!$C$8),"Yes","No"))</f>
        <v/>
      </c>
      <c r="Q422" s="66" t="str">
        <f aca="false">IF($A422="","",IF(AND($F422="Project",$E422&lt;&gt;"Closed",$E422&lt;&gt;"Dormant"),"Yes","No"))</f>
        <v/>
      </c>
      <c r="R422" s="66" t="str">
        <f aca="false">IF($A422="","",IF(AND($L422="In-house",OR($E422="Intake",$E422="Active",$E422="Waiting")),"Yes","No"))</f>
        <v/>
      </c>
      <c r="S422" s="66" t="str">
        <f aca="false">IF($A422="","",$C422&amp;" | "&amp;$D422)</f>
        <v/>
      </c>
      <c r="T422" s="66" t="str">
        <f aca="false">IF($A422="","",IF(AND($L422="Outside provider",OR($E422="Intake",$E422="Active",$E422="Waiting")),"Yes","No"))</f>
        <v/>
      </c>
    </row>
    <row r="423" customFormat="false" ht="15" hidden="false" customHeight="true" outlineLevel="0" collapsed="false">
      <c r="A423" s="67"/>
      <c r="B423" s="67"/>
      <c r="C423" s="67"/>
      <c r="D423" s="67"/>
      <c r="E423" s="67" t="str">
        <f aca="false">IF($A423="","",IFERROR(INDEX('Status map'!$D$6:$D$64,MATCH($C423&amp;" | "&amp;$D423,'Status map'!$I$6:$I$64,0)),"Unmapped"))</f>
        <v/>
      </c>
      <c r="F423" s="67"/>
      <c r="G423" s="70"/>
      <c r="H423" s="70"/>
      <c r="I423" s="70"/>
      <c r="J423" s="67"/>
      <c r="K423" s="67"/>
      <c r="L423" s="67"/>
      <c r="M423" s="66" t="str">
        <f aca="false">IF(OR($A423="",$H423&lt;&gt;""),"",Targets!$C$8-$I423)</f>
        <v/>
      </c>
      <c r="N423" s="66" t="str">
        <f aca="false">IF($A423="","",IF(AND($F423="Project",$E423="Active",$M423&lt;&gt;"",$M423&gt;Targets!$C$12),"Yes","No"))</f>
        <v/>
      </c>
      <c r="O423" s="66" t="str">
        <f aca="false">IF($A423="","",IF(AND($G423&gt;=Targets!$C$7,$G423&lt;=Targets!$C$8),"Yes","No"))</f>
        <v/>
      </c>
      <c r="P423" s="66" t="str">
        <f aca="false">IF($A423="","",IF(AND($H423&lt;&gt;"",$H423&gt;=Targets!$C$7,$H423&lt;=Targets!$C$8),"Yes","No"))</f>
        <v/>
      </c>
      <c r="Q423" s="66" t="str">
        <f aca="false">IF($A423="","",IF(AND($F423="Project",$E423&lt;&gt;"Closed",$E423&lt;&gt;"Dormant"),"Yes","No"))</f>
        <v/>
      </c>
      <c r="R423" s="66" t="str">
        <f aca="false">IF($A423="","",IF(AND($L423="In-house",OR($E423="Intake",$E423="Active",$E423="Waiting")),"Yes","No"))</f>
        <v/>
      </c>
      <c r="S423" s="66" t="str">
        <f aca="false">IF($A423="","",$C423&amp;" | "&amp;$D423)</f>
        <v/>
      </c>
      <c r="T423" s="66" t="str">
        <f aca="false">IF($A423="","",IF(AND($L423="Outside provider",OR($E423="Intake",$E423="Active",$E423="Waiting")),"Yes","No"))</f>
        <v/>
      </c>
    </row>
    <row r="424" customFormat="false" ht="15" hidden="false" customHeight="true" outlineLevel="0" collapsed="false">
      <c r="A424" s="63"/>
      <c r="B424" s="63"/>
      <c r="C424" s="63"/>
      <c r="D424" s="63"/>
      <c r="E424" s="63" t="str">
        <f aca="false">IF($A424="","",IFERROR(INDEX('Status map'!$D$6:$D$64,MATCH($C424&amp;" | "&amp;$D424,'Status map'!$I$6:$I$64,0)),"Unmapped"))</f>
        <v/>
      </c>
      <c r="F424" s="63"/>
      <c r="G424" s="69"/>
      <c r="H424" s="69"/>
      <c r="I424" s="69"/>
      <c r="J424" s="63"/>
      <c r="K424" s="63"/>
      <c r="L424" s="63"/>
      <c r="M424" s="66" t="str">
        <f aca="false">IF(OR($A424="",$H424&lt;&gt;""),"",Targets!$C$8-$I424)</f>
        <v/>
      </c>
      <c r="N424" s="66" t="str">
        <f aca="false">IF($A424="","",IF(AND($F424="Project",$E424="Active",$M424&lt;&gt;"",$M424&gt;Targets!$C$12),"Yes","No"))</f>
        <v/>
      </c>
      <c r="O424" s="66" t="str">
        <f aca="false">IF($A424="","",IF(AND($G424&gt;=Targets!$C$7,$G424&lt;=Targets!$C$8),"Yes","No"))</f>
        <v/>
      </c>
      <c r="P424" s="66" t="str">
        <f aca="false">IF($A424="","",IF(AND($H424&lt;&gt;"",$H424&gt;=Targets!$C$7,$H424&lt;=Targets!$C$8),"Yes","No"))</f>
        <v/>
      </c>
      <c r="Q424" s="66" t="str">
        <f aca="false">IF($A424="","",IF(AND($F424="Project",$E424&lt;&gt;"Closed",$E424&lt;&gt;"Dormant"),"Yes","No"))</f>
        <v/>
      </c>
      <c r="R424" s="66" t="str">
        <f aca="false">IF($A424="","",IF(AND($L424="In-house",OR($E424="Intake",$E424="Active",$E424="Waiting")),"Yes","No"))</f>
        <v/>
      </c>
      <c r="S424" s="66" t="str">
        <f aca="false">IF($A424="","",$C424&amp;" | "&amp;$D424)</f>
        <v/>
      </c>
      <c r="T424" s="66" t="str">
        <f aca="false">IF($A424="","",IF(AND($L424="Outside provider",OR($E424="Intake",$E424="Active",$E424="Waiting")),"Yes","No"))</f>
        <v/>
      </c>
    </row>
    <row r="425" customFormat="false" ht="15" hidden="false" customHeight="true" outlineLevel="0" collapsed="false">
      <c r="A425" s="67"/>
      <c r="B425" s="67"/>
      <c r="C425" s="67"/>
      <c r="D425" s="67"/>
      <c r="E425" s="67" t="str">
        <f aca="false">IF($A425="","",IFERROR(INDEX('Status map'!$D$6:$D$64,MATCH($C425&amp;" | "&amp;$D425,'Status map'!$I$6:$I$64,0)),"Unmapped"))</f>
        <v/>
      </c>
      <c r="F425" s="67"/>
      <c r="G425" s="70"/>
      <c r="H425" s="70"/>
      <c r="I425" s="70"/>
      <c r="J425" s="67"/>
      <c r="K425" s="67"/>
      <c r="L425" s="67"/>
      <c r="M425" s="66" t="str">
        <f aca="false">IF(OR($A425="",$H425&lt;&gt;""),"",Targets!$C$8-$I425)</f>
        <v/>
      </c>
      <c r="N425" s="66" t="str">
        <f aca="false">IF($A425="","",IF(AND($F425="Project",$E425="Active",$M425&lt;&gt;"",$M425&gt;Targets!$C$12),"Yes","No"))</f>
        <v/>
      </c>
      <c r="O425" s="66" t="str">
        <f aca="false">IF($A425="","",IF(AND($G425&gt;=Targets!$C$7,$G425&lt;=Targets!$C$8),"Yes","No"))</f>
        <v/>
      </c>
      <c r="P425" s="66" t="str">
        <f aca="false">IF($A425="","",IF(AND($H425&lt;&gt;"",$H425&gt;=Targets!$C$7,$H425&lt;=Targets!$C$8),"Yes","No"))</f>
        <v/>
      </c>
      <c r="Q425" s="66" t="str">
        <f aca="false">IF($A425="","",IF(AND($F425="Project",$E425&lt;&gt;"Closed",$E425&lt;&gt;"Dormant"),"Yes","No"))</f>
        <v/>
      </c>
      <c r="R425" s="66" t="str">
        <f aca="false">IF($A425="","",IF(AND($L425="In-house",OR($E425="Intake",$E425="Active",$E425="Waiting")),"Yes","No"))</f>
        <v/>
      </c>
      <c r="S425" s="66" t="str">
        <f aca="false">IF($A425="","",$C425&amp;" | "&amp;$D425)</f>
        <v/>
      </c>
      <c r="T425" s="66" t="str">
        <f aca="false">IF($A425="","",IF(AND($L425="Outside provider",OR($E425="Intake",$E425="Active",$E425="Waiting")),"Yes","No"))</f>
        <v/>
      </c>
    </row>
    <row r="426" customFormat="false" ht="15" hidden="false" customHeight="true" outlineLevel="0" collapsed="false">
      <c r="A426" s="63"/>
      <c r="B426" s="63"/>
      <c r="C426" s="63"/>
      <c r="D426" s="63"/>
      <c r="E426" s="63" t="str">
        <f aca="false">IF($A426="","",IFERROR(INDEX('Status map'!$D$6:$D$64,MATCH($C426&amp;" | "&amp;$D426,'Status map'!$I$6:$I$64,0)),"Unmapped"))</f>
        <v/>
      </c>
      <c r="F426" s="63"/>
      <c r="G426" s="69"/>
      <c r="H426" s="69"/>
      <c r="I426" s="69"/>
      <c r="J426" s="63"/>
      <c r="K426" s="63"/>
      <c r="L426" s="63"/>
      <c r="M426" s="66" t="str">
        <f aca="false">IF(OR($A426="",$H426&lt;&gt;""),"",Targets!$C$8-$I426)</f>
        <v/>
      </c>
      <c r="N426" s="66" t="str">
        <f aca="false">IF($A426="","",IF(AND($F426="Project",$E426="Active",$M426&lt;&gt;"",$M426&gt;Targets!$C$12),"Yes","No"))</f>
        <v/>
      </c>
      <c r="O426" s="66" t="str">
        <f aca="false">IF($A426="","",IF(AND($G426&gt;=Targets!$C$7,$G426&lt;=Targets!$C$8),"Yes","No"))</f>
        <v/>
      </c>
      <c r="P426" s="66" t="str">
        <f aca="false">IF($A426="","",IF(AND($H426&lt;&gt;"",$H426&gt;=Targets!$C$7,$H426&lt;=Targets!$C$8),"Yes","No"))</f>
        <v/>
      </c>
      <c r="Q426" s="66" t="str">
        <f aca="false">IF($A426="","",IF(AND($F426="Project",$E426&lt;&gt;"Closed",$E426&lt;&gt;"Dormant"),"Yes","No"))</f>
        <v/>
      </c>
      <c r="R426" s="66" t="str">
        <f aca="false">IF($A426="","",IF(AND($L426="In-house",OR($E426="Intake",$E426="Active",$E426="Waiting")),"Yes","No"))</f>
        <v/>
      </c>
      <c r="S426" s="66" t="str">
        <f aca="false">IF($A426="","",$C426&amp;" | "&amp;$D426)</f>
        <v/>
      </c>
      <c r="T426" s="66" t="str">
        <f aca="false">IF($A426="","",IF(AND($L426="Outside provider",OR($E426="Intake",$E426="Active",$E426="Waiting")),"Yes","No"))</f>
        <v/>
      </c>
    </row>
    <row r="427" customFormat="false" ht="15" hidden="false" customHeight="true" outlineLevel="0" collapsed="false">
      <c r="A427" s="67"/>
      <c r="B427" s="67"/>
      <c r="C427" s="67"/>
      <c r="D427" s="67"/>
      <c r="E427" s="67" t="str">
        <f aca="false">IF($A427="","",IFERROR(INDEX('Status map'!$D$6:$D$64,MATCH($C427&amp;" | "&amp;$D427,'Status map'!$I$6:$I$64,0)),"Unmapped"))</f>
        <v/>
      </c>
      <c r="F427" s="67"/>
      <c r="G427" s="70"/>
      <c r="H427" s="70"/>
      <c r="I427" s="70"/>
      <c r="J427" s="67"/>
      <c r="K427" s="67"/>
      <c r="L427" s="67"/>
      <c r="M427" s="66" t="str">
        <f aca="false">IF(OR($A427="",$H427&lt;&gt;""),"",Targets!$C$8-$I427)</f>
        <v/>
      </c>
      <c r="N427" s="66" t="str">
        <f aca="false">IF($A427="","",IF(AND($F427="Project",$E427="Active",$M427&lt;&gt;"",$M427&gt;Targets!$C$12),"Yes","No"))</f>
        <v/>
      </c>
      <c r="O427" s="66" t="str">
        <f aca="false">IF($A427="","",IF(AND($G427&gt;=Targets!$C$7,$G427&lt;=Targets!$C$8),"Yes","No"))</f>
        <v/>
      </c>
      <c r="P427" s="66" t="str">
        <f aca="false">IF($A427="","",IF(AND($H427&lt;&gt;"",$H427&gt;=Targets!$C$7,$H427&lt;=Targets!$C$8),"Yes","No"))</f>
        <v/>
      </c>
      <c r="Q427" s="66" t="str">
        <f aca="false">IF($A427="","",IF(AND($F427="Project",$E427&lt;&gt;"Closed",$E427&lt;&gt;"Dormant"),"Yes","No"))</f>
        <v/>
      </c>
      <c r="R427" s="66" t="str">
        <f aca="false">IF($A427="","",IF(AND($L427="In-house",OR($E427="Intake",$E427="Active",$E427="Waiting")),"Yes","No"))</f>
        <v/>
      </c>
      <c r="S427" s="66" t="str">
        <f aca="false">IF($A427="","",$C427&amp;" | "&amp;$D427)</f>
        <v/>
      </c>
      <c r="T427" s="66" t="str">
        <f aca="false">IF($A427="","",IF(AND($L427="Outside provider",OR($E427="Intake",$E427="Active",$E427="Waiting")),"Yes","No"))</f>
        <v/>
      </c>
    </row>
    <row r="428" customFormat="false" ht="15" hidden="false" customHeight="true" outlineLevel="0" collapsed="false">
      <c r="A428" s="63"/>
      <c r="B428" s="63"/>
      <c r="C428" s="63"/>
      <c r="D428" s="63"/>
      <c r="E428" s="63" t="str">
        <f aca="false">IF($A428="","",IFERROR(INDEX('Status map'!$D$6:$D$64,MATCH($C428&amp;" | "&amp;$D428,'Status map'!$I$6:$I$64,0)),"Unmapped"))</f>
        <v/>
      </c>
      <c r="F428" s="63"/>
      <c r="G428" s="69"/>
      <c r="H428" s="69"/>
      <c r="I428" s="69"/>
      <c r="J428" s="63"/>
      <c r="K428" s="63"/>
      <c r="L428" s="63"/>
      <c r="M428" s="66" t="str">
        <f aca="false">IF(OR($A428="",$H428&lt;&gt;""),"",Targets!$C$8-$I428)</f>
        <v/>
      </c>
      <c r="N428" s="66" t="str">
        <f aca="false">IF($A428="","",IF(AND($F428="Project",$E428="Active",$M428&lt;&gt;"",$M428&gt;Targets!$C$12),"Yes","No"))</f>
        <v/>
      </c>
      <c r="O428" s="66" t="str">
        <f aca="false">IF($A428="","",IF(AND($G428&gt;=Targets!$C$7,$G428&lt;=Targets!$C$8),"Yes","No"))</f>
        <v/>
      </c>
      <c r="P428" s="66" t="str">
        <f aca="false">IF($A428="","",IF(AND($H428&lt;&gt;"",$H428&gt;=Targets!$C$7,$H428&lt;=Targets!$C$8),"Yes","No"))</f>
        <v/>
      </c>
      <c r="Q428" s="66" t="str">
        <f aca="false">IF($A428="","",IF(AND($F428="Project",$E428&lt;&gt;"Closed",$E428&lt;&gt;"Dormant"),"Yes","No"))</f>
        <v/>
      </c>
      <c r="R428" s="66" t="str">
        <f aca="false">IF($A428="","",IF(AND($L428="In-house",OR($E428="Intake",$E428="Active",$E428="Waiting")),"Yes","No"))</f>
        <v/>
      </c>
      <c r="S428" s="66" t="str">
        <f aca="false">IF($A428="","",$C428&amp;" | "&amp;$D428)</f>
        <v/>
      </c>
      <c r="T428" s="66" t="str">
        <f aca="false">IF($A428="","",IF(AND($L428="Outside provider",OR($E428="Intake",$E428="Active",$E428="Waiting")),"Yes","No"))</f>
        <v/>
      </c>
    </row>
    <row r="429" customFormat="false" ht="15" hidden="false" customHeight="true" outlineLevel="0" collapsed="false">
      <c r="A429" s="67"/>
      <c r="B429" s="67"/>
      <c r="C429" s="67"/>
      <c r="D429" s="67"/>
      <c r="E429" s="67" t="str">
        <f aca="false">IF($A429="","",IFERROR(INDEX('Status map'!$D$6:$D$64,MATCH($C429&amp;" | "&amp;$D429,'Status map'!$I$6:$I$64,0)),"Unmapped"))</f>
        <v/>
      </c>
      <c r="F429" s="67"/>
      <c r="G429" s="70"/>
      <c r="H429" s="70"/>
      <c r="I429" s="70"/>
      <c r="J429" s="67"/>
      <c r="K429" s="67"/>
      <c r="L429" s="67"/>
      <c r="M429" s="66" t="str">
        <f aca="false">IF(OR($A429="",$H429&lt;&gt;""),"",Targets!$C$8-$I429)</f>
        <v/>
      </c>
      <c r="N429" s="66" t="str">
        <f aca="false">IF($A429="","",IF(AND($F429="Project",$E429="Active",$M429&lt;&gt;"",$M429&gt;Targets!$C$12),"Yes","No"))</f>
        <v/>
      </c>
      <c r="O429" s="66" t="str">
        <f aca="false">IF($A429="","",IF(AND($G429&gt;=Targets!$C$7,$G429&lt;=Targets!$C$8),"Yes","No"))</f>
        <v/>
      </c>
      <c r="P429" s="66" t="str">
        <f aca="false">IF($A429="","",IF(AND($H429&lt;&gt;"",$H429&gt;=Targets!$C$7,$H429&lt;=Targets!$C$8),"Yes","No"))</f>
        <v/>
      </c>
      <c r="Q429" s="66" t="str">
        <f aca="false">IF($A429="","",IF(AND($F429="Project",$E429&lt;&gt;"Closed",$E429&lt;&gt;"Dormant"),"Yes","No"))</f>
        <v/>
      </c>
      <c r="R429" s="66" t="str">
        <f aca="false">IF($A429="","",IF(AND($L429="In-house",OR($E429="Intake",$E429="Active",$E429="Waiting")),"Yes","No"))</f>
        <v/>
      </c>
      <c r="S429" s="66" t="str">
        <f aca="false">IF($A429="","",$C429&amp;" | "&amp;$D429)</f>
        <v/>
      </c>
      <c r="T429" s="66" t="str">
        <f aca="false">IF($A429="","",IF(AND($L429="Outside provider",OR($E429="Intake",$E429="Active",$E429="Waiting")),"Yes","No"))</f>
        <v/>
      </c>
    </row>
    <row r="430" customFormat="false" ht="15" hidden="false" customHeight="true" outlineLevel="0" collapsed="false">
      <c r="A430" s="63"/>
      <c r="B430" s="63"/>
      <c r="C430" s="63"/>
      <c r="D430" s="63"/>
      <c r="E430" s="63" t="str">
        <f aca="false">IF($A430="","",IFERROR(INDEX('Status map'!$D$6:$D$64,MATCH($C430&amp;" | "&amp;$D430,'Status map'!$I$6:$I$64,0)),"Unmapped"))</f>
        <v/>
      </c>
      <c r="F430" s="63"/>
      <c r="G430" s="69"/>
      <c r="H430" s="69"/>
      <c r="I430" s="69"/>
      <c r="J430" s="63"/>
      <c r="K430" s="63"/>
      <c r="L430" s="63"/>
      <c r="M430" s="66" t="str">
        <f aca="false">IF(OR($A430="",$H430&lt;&gt;""),"",Targets!$C$8-$I430)</f>
        <v/>
      </c>
      <c r="N430" s="66" t="str">
        <f aca="false">IF($A430="","",IF(AND($F430="Project",$E430="Active",$M430&lt;&gt;"",$M430&gt;Targets!$C$12),"Yes","No"))</f>
        <v/>
      </c>
      <c r="O430" s="66" t="str">
        <f aca="false">IF($A430="","",IF(AND($G430&gt;=Targets!$C$7,$G430&lt;=Targets!$C$8),"Yes","No"))</f>
        <v/>
      </c>
      <c r="P430" s="66" t="str">
        <f aca="false">IF($A430="","",IF(AND($H430&lt;&gt;"",$H430&gt;=Targets!$C$7,$H430&lt;=Targets!$C$8),"Yes","No"))</f>
        <v/>
      </c>
      <c r="Q430" s="66" t="str">
        <f aca="false">IF($A430="","",IF(AND($F430="Project",$E430&lt;&gt;"Closed",$E430&lt;&gt;"Dormant"),"Yes","No"))</f>
        <v/>
      </c>
      <c r="R430" s="66" t="str">
        <f aca="false">IF($A430="","",IF(AND($L430="In-house",OR($E430="Intake",$E430="Active",$E430="Waiting")),"Yes","No"))</f>
        <v/>
      </c>
      <c r="S430" s="66" t="str">
        <f aca="false">IF($A430="","",$C430&amp;" | "&amp;$D430)</f>
        <v/>
      </c>
      <c r="T430" s="66" t="str">
        <f aca="false">IF($A430="","",IF(AND($L430="Outside provider",OR($E430="Intake",$E430="Active",$E430="Waiting")),"Yes","No"))</f>
        <v/>
      </c>
    </row>
    <row r="431" customFormat="false" ht="15" hidden="false" customHeight="true" outlineLevel="0" collapsed="false">
      <c r="A431" s="67"/>
      <c r="B431" s="67"/>
      <c r="C431" s="67"/>
      <c r="D431" s="67"/>
      <c r="E431" s="67" t="str">
        <f aca="false">IF($A431="","",IFERROR(INDEX('Status map'!$D$6:$D$64,MATCH($C431&amp;" | "&amp;$D431,'Status map'!$I$6:$I$64,0)),"Unmapped"))</f>
        <v/>
      </c>
      <c r="F431" s="67"/>
      <c r="G431" s="70"/>
      <c r="H431" s="70"/>
      <c r="I431" s="70"/>
      <c r="J431" s="67"/>
      <c r="K431" s="67"/>
      <c r="L431" s="67"/>
      <c r="M431" s="66" t="str">
        <f aca="false">IF(OR($A431="",$H431&lt;&gt;""),"",Targets!$C$8-$I431)</f>
        <v/>
      </c>
      <c r="N431" s="66" t="str">
        <f aca="false">IF($A431="","",IF(AND($F431="Project",$E431="Active",$M431&lt;&gt;"",$M431&gt;Targets!$C$12),"Yes","No"))</f>
        <v/>
      </c>
      <c r="O431" s="66" t="str">
        <f aca="false">IF($A431="","",IF(AND($G431&gt;=Targets!$C$7,$G431&lt;=Targets!$C$8),"Yes","No"))</f>
        <v/>
      </c>
      <c r="P431" s="66" t="str">
        <f aca="false">IF($A431="","",IF(AND($H431&lt;&gt;"",$H431&gt;=Targets!$C$7,$H431&lt;=Targets!$C$8),"Yes","No"))</f>
        <v/>
      </c>
      <c r="Q431" s="66" t="str">
        <f aca="false">IF($A431="","",IF(AND($F431="Project",$E431&lt;&gt;"Closed",$E431&lt;&gt;"Dormant"),"Yes","No"))</f>
        <v/>
      </c>
      <c r="R431" s="66" t="str">
        <f aca="false">IF($A431="","",IF(AND($L431="In-house",OR($E431="Intake",$E431="Active",$E431="Waiting")),"Yes","No"))</f>
        <v/>
      </c>
      <c r="S431" s="66" t="str">
        <f aca="false">IF($A431="","",$C431&amp;" | "&amp;$D431)</f>
        <v/>
      </c>
      <c r="T431" s="66" t="str">
        <f aca="false">IF($A431="","",IF(AND($L431="Outside provider",OR($E431="Intake",$E431="Active",$E431="Waiting")),"Yes","No"))</f>
        <v/>
      </c>
    </row>
    <row r="432" customFormat="false" ht="15" hidden="false" customHeight="true" outlineLevel="0" collapsed="false">
      <c r="A432" s="63"/>
      <c r="B432" s="63"/>
      <c r="C432" s="63"/>
      <c r="D432" s="63"/>
      <c r="E432" s="63" t="str">
        <f aca="false">IF($A432="","",IFERROR(INDEX('Status map'!$D$6:$D$64,MATCH($C432&amp;" | "&amp;$D432,'Status map'!$I$6:$I$64,0)),"Unmapped"))</f>
        <v/>
      </c>
      <c r="F432" s="63"/>
      <c r="G432" s="69"/>
      <c r="H432" s="69"/>
      <c r="I432" s="69"/>
      <c r="J432" s="63"/>
      <c r="K432" s="63"/>
      <c r="L432" s="63"/>
      <c r="M432" s="66" t="str">
        <f aca="false">IF(OR($A432="",$H432&lt;&gt;""),"",Targets!$C$8-$I432)</f>
        <v/>
      </c>
      <c r="N432" s="66" t="str">
        <f aca="false">IF($A432="","",IF(AND($F432="Project",$E432="Active",$M432&lt;&gt;"",$M432&gt;Targets!$C$12),"Yes","No"))</f>
        <v/>
      </c>
      <c r="O432" s="66" t="str">
        <f aca="false">IF($A432="","",IF(AND($G432&gt;=Targets!$C$7,$G432&lt;=Targets!$C$8),"Yes","No"))</f>
        <v/>
      </c>
      <c r="P432" s="66" t="str">
        <f aca="false">IF($A432="","",IF(AND($H432&lt;&gt;"",$H432&gt;=Targets!$C$7,$H432&lt;=Targets!$C$8),"Yes","No"))</f>
        <v/>
      </c>
      <c r="Q432" s="66" t="str">
        <f aca="false">IF($A432="","",IF(AND($F432="Project",$E432&lt;&gt;"Closed",$E432&lt;&gt;"Dormant"),"Yes","No"))</f>
        <v/>
      </c>
      <c r="R432" s="66" t="str">
        <f aca="false">IF($A432="","",IF(AND($L432="In-house",OR($E432="Intake",$E432="Active",$E432="Waiting")),"Yes","No"))</f>
        <v/>
      </c>
      <c r="S432" s="66" t="str">
        <f aca="false">IF($A432="","",$C432&amp;" | "&amp;$D432)</f>
        <v/>
      </c>
      <c r="T432" s="66" t="str">
        <f aca="false">IF($A432="","",IF(AND($L432="Outside provider",OR($E432="Intake",$E432="Active",$E432="Waiting")),"Yes","No"))</f>
        <v/>
      </c>
    </row>
    <row r="433" customFormat="false" ht="15" hidden="false" customHeight="true" outlineLevel="0" collapsed="false">
      <c r="A433" s="67"/>
      <c r="B433" s="67"/>
      <c r="C433" s="67"/>
      <c r="D433" s="67"/>
      <c r="E433" s="67" t="str">
        <f aca="false">IF($A433="","",IFERROR(INDEX('Status map'!$D$6:$D$64,MATCH($C433&amp;" | "&amp;$D433,'Status map'!$I$6:$I$64,0)),"Unmapped"))</f>
        <v/>
      </c>
      <c r="F433" s="67"/>
      <c r="G433" s="70"/>
      <c r="H433" s="70"/>
      <c r="I433" s="70"/>
      <c r="J433" s="67"/>
      <c r="K433" s="67"/>
      <c r="L433" s="67"/>
      <c r="M433" s="66" t="str">
        <f aca="false">IF(OR($A433="",$H433&lt;&gt;""),"",Targets!$C$8-$I433)</f>
        <v/>
      </c>
      <c r="N433" s="66" t="str">
        <f aca="false">IF($A433="","",IF(AND($F433="Project",$E433="Active",$M433&lt;&gt;"",$M433&gt;Targets!$C$12),"Yes","No"))</f>
        <v/>
      </c>
      <c r="O433" s="66" t="str">
        <f aca="false">IF($A433="","",IF(AND($G433&gt;=Targets!$C$7,$G433&lt;=Targets!$C$8),"Yes","No"))</f>
        <v/>
      </c>
      <c r="P433" s="66" t="str">
        <f aca="false">IF($A433="","",IF(AND($H433&lt;&gt;"",$H433&gt;=Targets!$C$7,$H433&lt;=Targets!$C$8),"Yes","No"))</f>
        <v/>
      </c>
      <c r="Q433" s="66" t="str">
        <f aca="false">IF($A433="","",IF(AND($F433="Project",$E433&lt;&gt;"Closed",$E433&lt;&gt;"Dormant"),"Yes","No"))</f>
        <v/>
      </c>
      <c r="R433" s="66" t="str">
        <f aca="false">IF($A433="","",IF(AND($L433="In-house",OR($E433="Intake",$E433="Active",$E433="Waiting")),"Yes","No"))</f>
        <v/>
      </c>
      <c r="S433" s="66" t="str">
        <f aca="false">IF($A433="","",$C433&amp;" | "&amp;$D433)</f>
        <v/>
      </c>
      <c r="T433" s="66" t="str">
        <f aca="false">IF($A433="","",IF(AND($L433="Outside provider",OR($E433="Intake",$E433="Active",$E433="Waiting")),"Yes","No"))</f>
        <v/>
      </c>
    </row>
    <row r="434" customFormat="false" ht="15" hidden="false" customHeight="true" outlineLevel="0" collapsed="false">
      <c r="A434" s="63"/>
      <c r="B434" s="63"/>
      <c r="C434" s="63"/>
      <c r="D434" s="63"/>
      <c r="E434" s="63" t="str">
        <f aca="false">IF($A434="","",IFERROR(INDEX('Status map'!$D$6:$D$64,MATCH($C434&amp;" | "&amp;$D434,'Status map'!$I$6:$I$64,0)),"Unmapped"))</f>
        <v/>
      </c>
      <c r="F434" s="63"/>
      <c r="G434" s="69"/>
      <c r="H434" s="69"/>
      <c r="I434" s="69"/>
      <c r="J434" s="63"/>
      <c r="K434" s="63"/>
      <c r="L434" s="63"/>
      <c r="M434" s="66" t="str">
        <f aca="false">IF(OR($A434="",$H434&lt;&gt;""),"",Targets!$C$8-$I434)</f>
        <v/>
      </c>
      <c r="N434" s="66" t="str">
        <f aca="false">IF($A434="","",IF(AND($F434="Project",$E434="Active",$M434&lt;&gt;"",$M434&gt;Targets!$C$12),"Yes","No"))</f>
        <v/>
      </c>
      <c r="O434" s="66" t="str">
        <f aca="false">IF($A434="","",IF(AND($G434&gt;=Targets!$C$7,$G434&lt;=Targets!$C$8),"Yes","No"))</f>
        <v/>
      </c>
      <c r="P434" s="66" t="str">
        <f aca="false">IF($A434="","",IF(AND($H434&lt;&gt;"",$H434&gt;=Targets!$C$7,$H434&lt;=Targets!$C$8),"Yes","No"))</f>
        <v/>
      </c>
      <c r="Q434" s="66" t="str">
        <f aca="false">IF($A434="","",IF(AND($F434="Project",$E434&lt;&gt;"Closed",$E434&lt;&gt;"Dormant"),"Yes","No"))</f>
        <v/>
      </c>
      <c r="R434" s="66" t="str">
        <f aca="false">IF($A434="","",IF(AND($L434="In-house",OR($E434="Intake",$E434="Active",$E434="Waiting")),"Yes","No"))</f>
        <v/>
      </c>
      <c r="S434" s="66" t="str">
        <f aca="false">IF($A434="","",$C434&amp;" | "&amp;$D434)</f>
        <v/>
      </c>
      <c r="T434" s="66" t="str">
        <f aca="false">IF($A434="","",IF(AND($L434="Outside provider",OR($E434="Intake",$E434="Active",$E434="Waiting")),"Yes","No"))</f>
        <v/>
      </c>
    </row>
    <row r="435" customFormat="false" ht="15" hidden="false" customHeight="true" outlineLevel="0" collapsed="false">
      <c r="A435" s="67"/>
      <c r="B435" s="67"/>
      <c r="C435" s="67"/>
      <c r="D435" s="67"/>
      <c r="E435" s="67" t="str">
        <f aca="false">IF($A435="","",IFERROR(INDEX('Status map'!$D$6:$D$64,MATCH($C435&amp;" | "&amp;$D435,'Status map'!$I$6:$I$64,0)),"Unmapped"))</f>
        <v/>
      </c>
      <c r="F435" s="67"/>
      <c r="G435" s="70"/>
      <c r="H435" s="70"/>
      <c r="I435" s="70"/>
      <c r="J435" s="67"/>
      <c r="K435" s="67"/>
      <c r="L435" s="67"/>
      <c r="M435" s="66" t="str">
        <f aca="false">IF(OR($A435="",$H435&lt;&gt;""),"",Targets!$C$8-$I435)</f>
        <v/>
      </c>
      <c r="N435" s="66" t="str">
        <f aca="false">IF($A435="","",IF(AND($F435="Project",$E435="Active",$M435&lt;&gt;"",$M435&gt;Targets!$C$12),"Yes","No"))</f>
        <v/>
      </c>
      <c r="O435" s="66" t="str">
        <f aca="false">IF($A435="","",IF(AND($G435&gt;=Targets!$C$7,$G435&lt;=Targets!$C$8),"Yes","No"))</f>
        <v/>
      </c>
      <c r="P435" s="66" t="str">
        <f aca="false">IF($A435="","",IF(AND($H435&lt;&gt;"",$H435&gt;=Targets!$C$7,$H435&lt;=Targets!$C$8),"Yes","No"))</f>
        <v/>
      </c>
      <c r="Q435" s="66" t="str">
        <f aca="false">IF($A435="","",IF(AND($F435="Project",$E435&lt;&gt;"Closed",$E435&lt;&gt;"Dormant"),"Yes","No"))</f>
        <v/>
      </c>
      <c r="R435" s="66" t="str">
        <f aca="false">IF($A435="","",IF(AND($L435="In-house",OR($E435="Intake",$E435="Active",$E435="Waiting")),"Yes","No"))</f>
        <v/>
      </c>
      <c r="S435" s="66" t="str">
        <f aca="false">IF($A435="","",$C435&amp;" | "&amp;$D435)</f>
        <v/>
      </c>
      <c r="T435" s="66" t="str">
        <f aca="false">IF($A435="","",IF(AND($L435="Outside provider",OR($E435="Intake",$E435="Active",$E435="Waiting")),"Yes","No"))</f>
        <v/>
      </c>
    </row>
    <row r="436" customFormat="false" ht="15" hidden="false" customHeight="true" outlineLevel="0" collapsed="false">
      <c r="A436" s="63"/>
      <c r="B436" s="63"/>
      <c r="C436" s="63"/>
      <c r="D436" s="63"/>
      <c r="E436" s="63" t="str">
        <f aca="false">IF($A436="","",IFERROR(INDEX('Status map'!$D$6:$D$64,MATCH($C436&amp;" | "&amp;$D436,'Status map'!$I$6:$I$64,0)),"Unmapped"))</f>
        <v/>
      </c>
      <c r="F436" s="63"/>
      <c r="G436" s="69"/>
      <c r="H436" s="69"/>
      <c r="I436" s="69"/>
      <c r="J436" s="63"/>
      <c r="K436" s="63"/>
      <c r="L436" s="63"/>
      <c r="M436" s="66" t="str">
        <f aca="false">IF(OR($A436="",$H436&lt;&gt;""),"",Targets!$C$8-$I436)</f>
        <v/>
      </c>
      <c r="N436" s="66" t="str">
        <f aca="false">IF($A436="","",IF(AND($F436="Project",$E436="Active",$M436&lt;&gt;"",$M436&gt;Targets!$C$12),"Yes","No"))</f>
        <v/>
      </c>
      <c r="O436" s="66" t="str">
        <f aca="false">IF($A436="","",IF(AND($G436&gt;=Targets!$C$7,$G436&lt;=Targets!$C$8),"Yes","No"))</f>
        <v/>
      </c>
      <c r="P436" s="66" t="str">
        <f aca="false">IF($A436="","",IF(AND($H436&lt;&gt;"",$H436&gt;=Targets!$C$7,$H436&lt;=Targets!$C$8),"Yes","No"))</f>
        <v/>
      </c>
      <c r="Q436" s="66" t="str">
        <f aca="false">IF($A436="","",IF(AND($F436="Project",$E436&lt;&gt;"Closed",$E436&lt;&gt;"Dormant"),"Yes","No"))</f>
        <v/>
      </c>
      <c r="R436" s="66" t="str">
        <f aca="false">IF($A436="","",IF(AND($L436="In-house",OR($E436="Intake",$E436="Active",$E436="Waiting")),"Yes","No"))</f>
        <v/>
      </c>
      <c r="S436" s="66" t="str">
        <f aca="false">IF($A436="","",$C436&amp;" | "&amp;$D436)</f>
        <v/>
      </c>
      <c r="T436" s="66" t="str">
        <f aca="false">IF($A436="","",IF(AND($L436="Outside provider",OR($E436="Intake",$E436="Active",$E436="Waiting")),"Yes","No"))</f>
        <v/>
      </c>
    </row>
    <row r="437" customFormat="false" ht="15" hidden="false" customHeight="true" outlineLevel="0" collapsed="false">
      <c r="A437" s="67"/>
      <c r="B437" s="67"/>
      <c r="C437" s="67"/>
      <c r="D437" s="67"/>
      <c r="E437" s="67" t="str">
        <f aca="false">IF($A437="","",IFERROR(INDEX('Status map'!$D$6:$D$64,MATCH($C437&amp;" | "&amp;$D437,'Status map'!$I$6:$I$64,0)),"Unmapped"))</f>
        <v/>
      </c>
      <c r="F437" s="67"/>
      <c r="G437" s="70"/>
      <c r="H437" s="70"/>
      <c r="I437" s="70"/>
      <c r="J437" s="67"/>
      <c r="K437" s="67"/>
      <c r="L437" s="67"/>
      <c r="M437" s="66" t="str">
        <f aca="false">IF(OR($A437="",$H437&lt;&gt;""),"",Targets!$C$8-$I437)</f>
        <v/>
      </c>
      <c r="N437" s="66" t="str">
        <f aca="false">IF($A437="","",IF(AND($F437="Project",$E437="Active",$M437&lt;&gt;"",$M437&gt;Targets!$C$12),"Yes","No"))</f>
        <v/>
      </c>
      <c r="O437" s="66" t="str">
        <f aca="false">IF($A437="","",IF(AND($G437&gt;=Targets!$C$7,$G437&lt;=Targets!$C$8),"Yes","No"))</f>
        <v/>
      </c>
      <c r="P437" s="66" t="str">
        <f aca="false">IF($A437="","",IF(AND($H437&lt;&gt;"",$H437&gt;=Targets!$C$7,$H437&lt;=Targets!$C$8),"Yes","No"))</f>
        <v/>
      </c>
      <c r="Q437" s="66" t="str">
        <f aca="false">IF($A437="","",IF(AND($F437="Project",$E437&lt;&gt;"Closed",$E437&lt;&gt;"Dormant"),"Yes","No"))</f>
        <v/>
      </c>
      <c r="R437" s="66" t="str">
        <f aca="false">IF($A437="","",IF(AND($L437="In-house",OR($E437="Intake",$E437="Active",$E437="Waiting")),"Yes","No"))</f>
        <v/>
      </c>
      <c r="S437" s="66" t="str">
        <f aca="false">IF($A437="","",$C437&amp;" | "&amp;$D437)</f>
        <v/>
      </c>
      <c r="T437" s="66" t="str">
        <f aca="false">IF($A437="","",IF(AND($L437="Outside provider",OR($E437="Intake",$E437="Active",$E437="Waiting")),"Yes","No"))</f>
        <v/>
      </c>
    </row>
    <row r="438" customFormat="false" ht="15" hidden="false" customHeight="true" outlineLevel="0" collapsed="false">
      <c r="A438" s="63"/>
      <c r="B438" s="63"/>
      <c r="C438" s="63"/>
      <c r="D438" s="63"/>
      <c r="E438" s="63" t="str">
        <f aca="false">IF($A438="","",IFERROR(INDEX('Status map'!$D$6:$D$64,MATCH($C438&amp;" | "&amp;$D438,'Status map'!$I$6:$I$64,0)),"Unmapped"))</f>
        <v/>
      </c>
      <c r="F438" s="63"/>
      <c r="G438" s="69"/>
      <c r="H438" s="69"/>
      <c r="I438" s="69"/>
      <c r="J438" s="63"/>
      <c r="K438" s="63"/>
      <c r="L438" s="63"/>
      <c r="M438" s="66" t="str">
        <f aca="false">IF(OR($A438="",$H438&lt;&gt;""),"",Targets!$C$8-$I438)</f>
        <v/>
      </c>
      <c r="N438" s="66" t="str">
        <f aca="false">IF($A438="","",IF(AND($F438="Project",$E438="Active",$M438&lt;&gt;"",$M438&gt;Targets!$C$12),"Yes","No"))</f>
        <v/>
      </c>
      <c r="O438" s="66" t="str">
        <f aca="false">IF($A438="","",IF(AND($G438&gt;=Targets!$C$7,$G438&lt;=Targets!$C$8),"Yes","No"))</f>
        <v/>
      </c>
      <c r="P438" s="66" t="str">
        <f aca="false">IF($A438="","",IF(AND($H438&lt;&gt;"",$H438&gt;=Targets!$C$7,$H438&lt;=Targets!$C$8),"Yes","No"))</f>
        <v/>
      </c>
      <c r="Q438" s="66" t="str">
        <f aca="false">IF($A438="","",IF(AND($F438="Project",$E438&lt;&gt;"Closed",$E438&lt;&gt;"Dormant"),"Yes","No"))</f>
        <v/>
      </c>
      <c r="R438" s="66" t="str">
        <f aca="false">IF($A438="","",IF(AND($L438="In-house",OR($E438="Intake",$E438="Active",$E438="Waiting")),"Yes","No"))</f>
        <v/>
      </c>
      <c r="S438" s="66" t="str">
        <f aca="false">IF($A438="","",$C438&amp;" | "&amp;$D438)</f>
        <v/>
      </c>
      <c r="T438" s="66" t="str">
        <f aca="false">IF($A438="","",IF(AND($L438="Outside provider",OR($E438="Intake",$E438="Active",$E438="Waiting")),"Yes","No"))</f>
        <v/>
      </c>
    </row>
    <row r="439" customFormat="false" ht="15" hidden="false" customHeight="true" outlineLevel="0" collapsed="false">
      <c r="A439" s="67"/>
      <c r="B439" s="67"/>
      <c r="C439" s="67"/>
      <c r="D439" s="67"/>
      <c r="E439" s="67" t="str">
        <f aca="false">IF($A439="","",IFERROR(INDEX('Status map'!$D$6:$D$64,MATCH($C439&amp;" | "&amp;$D439,'Status map'!$I$6:$I$64,0)),"Unmapped"))</f>
        <v/>
      </c>
      <c r="F439" s="67"/>
      <c r="G439" s="70"/>
      <c r="H439" s="70"/>
      <c r="I439" s="70"/>
      <c r="J439" s="67"/>
      <c r="K439" s="67"/>
      <c r="L439" s="67"/>
      <c r="M439" s="66" t="str">
        <f aca="false">IF(OR($A439="",$H439&lt;&gt;""),"",Targets!$C$8-$I439)</f>
        <v/>
      </c>
      <c r="N439" s="66" t="str">
        <f aca="false">IF($A439="","",IF(AND($F439="Project",$E439="Active",$M439&lt;&gt;"",$M439&gt;Targets!$C$12),"Yes","No"))</f>
        <v/>
      </c>
      <c r="O439" s="66" t="str">
        <f aca="false">IF($A439="","",IF(AND($G439&gt;=Targets!$C$7,$G439&lt;=Targets!$C$8),"Yes","No"))</f>
        <v/>
      </c>
      <c r="P439" s="66" t="str">
        <f aca="false">IF($A439="","",IF(AND($H439&lt;&gt;"",$H439&gt;=Targets!$C$7,$H439&lt;=Targets!$C$8),"Yes","No"))</f>
        <v/>
      </c>
      <c r="Q439" s="66" t="str">
        <f aca="false">IF($A439="","",IF(AND($F439="Project",$E439&lt;&gt;"Closed",$E439&lt;&gt;"Dormant"),"Yes","No"))</f>
        <v/>
      </c>
      <c r="R439" s="66" t="str">
        <f aca="false">IF($A439="","",IF(AND($L439="In-house",OR($E439="Intake",$E439="Active",$E439="Waiting")),"Yes","No"))</f>
        <v/>
      </c>
      <c r="S439" s="66" t="str">
        <f aca="false">IF($A439="","",$C439&amp;" | "&amp;$D439)</f>
        <v/>
      </c>
      <c r="T439" s="66" t="str">
        <f aca="false">IF($A439="","",IF(AND($L439="Outside provider",OR($E439="Intake",$E439="Active",$E439="Waiting")),"Yes","No"))</f>
        <v/>
      </c>
    </row>
    <row r="440" customFormat="false" ht="15" hidden="false" customHeight="true" outlineLevel="0" collapsed="false">
      <c r="A440" s="63"/>
      <c r="B440" s="63"/>
      <c r="C440" s="63"/>
      <c r="D440" s="63"/>
      <c r="E440" s="63" t="str">
        <f aca="false">IF($A440="","",IFERROR(INDEX('Status map'!$D$6:$D$64,MATCH($C440&amp;" | "&amp;$D440,'Status map'!$I$6:$I$64,0)),"Unmapped"))</f>
        <v/>
      </c>
      <c r="F440" s="63"/>
      <c r="G440" s="69"/>
      <c r="H440" s="69"/>
      <c r="I440" s="69"/>
      <c r="J440" s="63"/>
      <c r="K440" s="63"/>
      <c r="L440" s="63"/>
      <c r="M440" s="66" t="str">
        <f aca="false">IF(OR($A440="",$H440&lt;&gt;""),"",Targets!$C$8-$I440)</f>
        <v/>
      </c>
      <c r="N440" s="66" t="str">
        <f aca="false">IF($A440="","",IF(AND($F440="Project",$E440="Active",$M440&lt;&gt;"",$M440&gt;Targets!$C$12),"Yes","No"))</f>
        <v/>
      </c>
      <c r="O440" s="66" t="str">
        <f aca="false">IF($A440="","",IF(AND($G440&gt;=Targets!$C$7,$G440&lt;=Targets!$C$8),"Yes","No"))</f>
        <v/>
      </c>
      <c r="P440" s="66" t="str">
        <f aca="false">IF($A440="","",IF(AND($H440&lt;&gt;"",$H440&gt;=Targets!$C$7,$H440&lt;=Targets!$C$8),"Yes","No"))</f>
        <v/>
      </c>
      <c r="Q440" s="66" t="str">
        <f aca="false">IF($A440="","",IF(AND($F440="Project",$E440&lt;&gt;"Closed",$E440&lt;&gt;"Dormant"),"Yes","No"))</f>
        <v/>
      </c>
      <c r="R440" s="66" t="str">
        <f aca="false">IF($A440="","",IF(AND($L440="In-house",OR($E440="Intake",$E440="Active",$E440="Waiting")),"Yes","No"))</f>
        <v/>
      </c>
      <c r="S440" s="66" t="str">
        <f aca="false">IF($A440="","",$C440&amp;" | "&amp;$D440)</f>
        <v/>
      </c>
      <c r="T440" s="66" t="str">
        <f aca="false">IF($A440="","",IF(AND($L440="Outside provider",OR($E440="Intake",$E440="Active",$E440="Waiting")),"Yes","No"))</f>
        <v/>
      </c>
    </row>
    <row r="441" customFormat="false" ht="15" hidden="false" customHeight="true" outlineLevel="0" collapsed="false">
      <c r="A441" s="67"/>
      <c r="B441" s="67"/>
      <c r="C441" s="67"/>
      <c r="D441" s="67"/>
      <c r="E441" s="67" t="str">
        <f aca="false">IF($A441="","",IFERROR(INDEX('Status map'!$D$6:$D$64,MATCH($C441&amp;" | "&amp;$D441,'Status map'!$I$6:$I$64,0)),"Unmapped"))</f>
        <v/>
      </c>
      <c r="F441" s="67"/>
      <c r="G441" s="70"/>
      <c r="H441" s="70"/>
      <c r="I441" s="70"/>
      <c r="J441" s="67"/>
      <c r="K441" s="67"/>
      <c r="L441" s="67"/>
      <c r="M441" s="66" t="str">
        <f aca="false">IF(OR($A441="",$H441&lt;&gt;""),"",Targets!$C$8-$I441)</f>
        <v/>
      </c>
      <c r="N441" s="66" t="str">
        <f aca="false">IF($A441="","",IF(AND($F441="Project",$E441="Active",$M441&lt;&gt;"",$M441&gt;Targets!$C$12),"Yes","No"))</f>
        <v/>
      </c>
      <c r="O441" s="66" t="str">
        <f aca="false">IF($A441="","",IF(AND($G441&gt;=Targets!$C$7,$G441&lt;=Targets!$C$8),"Yes","No"))</f>
        <v/>
      </c>
      <c r="P441" s="66" t="str">
        <f aca="false">IF($A441="","",IF(AND($H441&lt;&gt;"",$H441&gt;=Targets!$C$7,$H441&lt;=Targets!$C$8),"Yes","No"))</f>
        <v/>
      </c>
      <c r="Q441" s="66" t="str">
        <f aca="false">IF($A441="","",IF(AND($F441="Project",$E441&lt;&gt;"Closed",$E441&lt;&gt;"Dormant"),"Yes","No"))</f>
        <v/>
      </c>
      <c r="R441" s="66" t="str">
        <f aca="false">IF($A441="","",IF(AND($L441="In-house",OR($E441="Intake",$E441="Active",$E441="Waiting")),"Yes","No"))</f>
        <v/>
      </c>
      <c r="S441" s="66" t="str">
        <f aca="false">IF($A441="","",$C441&amp;" | "&amp;$D441)</f>
        <v/>
      </c>
      <c r="T441" s="66" t="str">
        <f aca="false">IF($A441="","",IF(AND($L441="Outside provider",OR($E441="Intake",$E441="Active",$E441="Waiting")),"Yes","No"))</f>
        <v/>
      </c>
    </row>
    <row r="442" customFormat="false" ht="15" hidden="false" customHeight="true" outlineLevel="0" collapsed="false">
      <c r="A442" s="63"/>
      <c r="B442" s="63"/>
      <c r="C442" s="63"/>
      <c r="D442" s="63"/>
      <c r="E442" s="63" t="str">
        <f aca="false">IF($A442="","",IFERROR(INDEX('Status map'!$D$6:$D$64,MATCH($C442&amp;" | "&amp;$D442,'Status map'!$I$6:$I$64,0)),"Unmapped"))</f>
        <v/>
      </c>
      <c r="F442" s="63"/>
      <c r="G442" s="69"/>
      <c r="H442" s="69"/>
      <c r="I442" s="69"/>
      <c r="J442" s="63"/>
      <c r="K442" s="63"/>
      <c r="L442" s="63"/>
      <c r="M442" s="66" t="str">
        <f aca="false">IF(OR($A442="",$H442&lt;&gt;""),"",Targets!$C$8-$I442)</f>
        <v/>
      </c>
      <c r="N442" s="66" t="str">
        <f aca="false">IF($A442="","",IF(AND($F442="Project",$E442="Active",$M442&lt;&gt;"",$M442&gt;Targets!$C$12),"Yes","No"))</f>
        <v/>
      </c>
      <c r="O442" s="66" t="str">
        <f aca="false">IF($A442="","",IF(AND($G442&gt;=Targets!$C$7,$G442&lt;=Targets!$C$8),"Yes","No"))</f>
        <v/>
      </c>
      <c r="P442" s="66" t="str">
        <f aca="false">IF($A442="","",IF(AND($H442&lt;&gt;"",$H442&gt;=Targets!$C$7,$H442&lt;=Targets!$C$8),"Yes","No"))</f>
        <v/>
      </c>
      <c r="Q442" s="66" t="str">
        <f aca="false">IF($A442="","",IF(AND($F442="Project",$E442&lt;&gt;"Closed",$E442&lt;&gt;"Dormant"),"Yes","No"))</f>
        <v/>
      </c>
      <c r="R442" s="66" t="str">
        <f aca="false">IF($A442="","",IF(AND($L442="In-house",OR($E442="Intake",$E442="Active",$E442="Waiting")),"Yes","No"))</f>
        <v/>
      </c>
      <c r="S442" s="66" t="str">
        <f aca="false">IF($A442="","",$C442&amp;" | "&amp;$D442)</f>
        <v/>
      </c>
      <c r="T442" s="66" t="str">
        <f aca="false">IF($A442="","",IF(AND($L442="Outside provider",OR($E442="Intake",$E442="Active",$E442="Waiting")),"Yes","No"))</f>
        <v/>
      </c>
    </row>
    <row r="443" customFormat="false" ht="15" hidden="false" customHeight="true" outlineLevel="0" collapsed="false">
      <c r="A443" s="67"/>
      <c r="B443" s="67"/>
      <c r="C443" s="67"/>
      <c r="D443" s="67"/>
      <c r="E443" s="67" t="str">
        <f aca="false">IF($A443="","",IFERROR(INDEX('Status map'!$D$6:$D$64,MATCH($C443&amp;" | "&amp;$D443,'Status map'!$I$6:$I$64,0)),"Unmapped"))</f>
        <v/>
      </c>
      <c r="F443" s="67"/>
      <c r="G443" s="70"/>
      <c r="H443" s="70"/>
      <c r="I443" s="70"/>
      <c r="J443" s="67"/>
      <c r="K443" s="67"/>
      <c r="L443" s="67"/>
      <c r="M443" s="66" t="str">
        <f aca="false">IF(OR($A443="",$H443&lt;&gt;""),"",Targets!$C$8-$I443)</f>
        <v/>
      </c>
      <c r="N443" s="66" t="str">
        <f aca="false">IF($A443="","",IF(AND($F443="Project",$E443="Active",$M443&lt;&gt;"",$M443&gt;Targets!$C$12),"Yes","No"))</f>
        <v/>
      </c>
      <c r="O443" s="66" t="str">
        <f aca="false">IF($A443="","",IF(AND($G443&gt;=Targets!$C$7,$G443&lt;=Targets!$C$8),"Yes","No"))</f>
        <v/>
      </c>
      <c r="P443" s="66" t="str">
        <f aca="false">IF($A443="","",IF(AND($H443&lt;&gt;"",$H443&gt;=Targets!$C$7,$H443&lt;=Targets!$C$8),"Yes","No"))</f>
        <v/>
      </c>
      <c r="Q443" s="66" t="str">
        <f aca="false">IF($A443="","",IF(AND($F443="Project",$E443&lt;&gt;"Closed",$E443&lt;&gt;"Dormant"),"Yes","No"))</f>
        <v/>
      </c>
      <c r="R443" s="66" t="str">
        <f aca="false">IF($A443="","",IF(AND($L443="In-house",OR($E443="Intake",$E443="Active",$E443="Waiting")),"Yes","No"))</f>
        <v/>
      </c>
      <c r="S443" s="66" t="str">
        <f aca="false">IF($A443="","",$C443&amp;" | "&amp;$D443)</f>
        <v/>
      </c>
      <c r="T443" s="66" t="str">
        <f aca="false">IF($A443="","",IF(AND($L443="Outside provider",OR($E443="Intake",$E443="Active",$E443="Waiting")),"Yes","No"))</f>
        <v/>
      </c>
    </row>
    <row r="444" customFormat="false" ht="15" hidden="false" customHeight="true" outlineLevel="0" collapsed="false">
      <c r="A444" s="63"/>
      <c r="B444" s="63"/>
      <c r="C444" s="63"/>
      <c r="D444" s="63"/>
      <c r="E444" s="63" t="str">
        <f aca="false">IF($A444="","",IFERROR(INDEX('Status map'!$D$6:$D$64,MATCH($C444&amp;" | "&amp;$D444,'Status map'!$I$6:$I$64,0)),"Unmapped"))</f>
        <v/>
      </c>
      <c r="F444" s="63"/>
      <c r="G444" s="69"/>
      <c r="H444" s="69"/>
      <c r="I444" s="69"/>
      <c r="J444" s="63"/>
      <c r="K444" s="63"/>
      <c r="L444" s="63"/>
      <c r="M444" s="66" t="str">
        <f aca="false">IF(OR($A444="",$H444&lt;&gt;""),"",Targets!$C$8-$I444)</f>
        <v/>
      </c>
      <c r="N444" s="66" t="str">
        <f aca="false">IF($A444="","",IF(AND($F444="Project",$E444="Active",$M444&lt;&gt;"",$M444&gt;Targets!$C$12),"Yes","No"))</f>
        <v/>
      </c>
      <c r="O444" s="66" t="str">
        <f aca="false">IF($A444="","",IF(AND($G444&gt;=Targets!$C$7,$G444&lt;=Targets!$C$8),"Yes","No"))</f>
        <v/>
      </c>
      <c r="P444" s="66" t="str">
        <f aca="false">IF($A444="","",IF(AND($H444&lt;&gt;"",$H444&gt;=Targets!$C$7,$H444&lt;=Targets!$C$8),"Yes","No"))</f>
        <v/>
      </c>
      <c r="Q444" s="66" t="str">
        <f aca="false">IF($A444="","",IF(AND($F444="Project",$E444&lt;&gt;"Closed",$E444&lt;&gt;"Dormant"),"Yes","No"))</f>
        <v/>
      </c>
      <c r="R444" s="66" t="str">
        <f aca="false">IF($A444="","",IF(AND($L444="In-house",OR($E444="Intake",$E444="Active",$E444="Waiting")),"Yes","No"))</f>
        <v/>
      </c>
      <c r="S444" s="66" t="str">
        <f aca="false">IF($A444="","",$C444&amp;" | "&amp;$D444)</f>
        <v/>
      </c>
      <c r="T444" s="66" t="str">
        <f aca="false">IF($A444="","",IF(AND($L444="Outside provider",OR($E444="Intake",$E444="Active",$E444="Waiting")),"Yes","No"))</f>
        <v/>
      </c>
    </row>
    <row r="445" customFormat="false" ht="15" hidden="false" customHeight="true" outlineLevel="0" collapsed="false">
      <c r="A445" s="67"/>
      <c r="B445" s="67"/>
      <c r="C445" s="67"/>
      <c r="D445" s="67"/>
      <c r="E445" s="67" t="str">
        <f aca="false">IF($A445="","",IFERROR(INDEX('Status map'!$D$6:$D$64,MATCH($C445&amp;" | "&amp;$D445,'Status map'!$I$6:$I$64,0)),"Unmapped"))</f>
        <v/>
      </c>
      <c r="F445" s="67"/>
      <c r="G445" s="70"/>
      <c r="H445" s="70"/>
      <c r="I445" s="70"/>
      <c r="J445" s="67"/>
      <c r="K445" s="67"/>
      <c r="L445" s="67"/>
      <c r="M445" s="66" t="str">
        <f aca="false">IF(OR($A445="",$H445&lt;&gt;""),"",Targets!$C$8-$I445)</f>
        <v/>
      </c>
      <c r="N445" s="66" t="str">
        <f aca="false">IF($A445="","",IF(AND($F445="Project",$E445="Active",$M445&lt;&gt;"",$M445&gt;Targets!$C$12),"Yes","No"))</f>
        <v/>
      </c>
      <c r="O445" s="66" t="str">
        <f aca="false">IF($A445="","",IF(AND($G445&gt;=Targets!$C$7,$G445&lt;=Targets!$C$8),"Yes","No"))</f>
        <v/>
      </c>
      <c r="P445" s="66" t="str">
        <f aca="false">IF($A445="","",IF(AND($H445&lt;&gt;"",$H445&gt;=Targets!$C$7,$H445&lt;=Targets!$C$8),"Yes","No"))</f>
        <v/>
      </c>
      <c r="Q445" s="66" t="str">
        <f aca="false">IF($A445="","",IF(AND($F445="Project",$E445&lt;&gt;"Closed",$E445&lt;&gt;"Dormant"),"Yes","No"))</f>
        <v/>
      </c>
      <c r="R445" s="66" t="str">
        <f aca="false">IF($A445="","",IF(AND($L445="In-house",OR($E445="Intake",$E445="Active",$E445="Waiting")),"Yes","No"))</f>
        <v/>
      </c>
      <c r="S445" s="66" t="str">
        <f aca="false">IF($A445="","",$C445&amp;" | "&amp;$D445)</f>
        <v/>
      </c>
      <c r="T445" s="66" t="str">
        <f aca="false">IF($A445="","",IF(AND($L445="Outside provider",OR($E445="Intake",$E445="Active",$E445="Waiting")),"Yes","No"))</f>
        <v/>
      </c>
    </row>
    <row r="446" customFormat="false" ht="15" hidden="false" customHeight="true" outlineLevel="0" collapsed="false">
      <c r="A446" s="63"/>
      <c r="B446" s="63"/>
      <c r="C446" s="63"/>
      <c r="D446" s="63"/>
      <c r="E446" s="63" t="str">
        <f aca="false">IF($A446="","",IFERROR(INDEX('Status map'!$D$6:$D$64,MATCH($C446&amp;" | "&amp;$D446,'Status map'!$I$6:$I$64,0)),"Unmapped"))</f>
        <v/>
      </c>
      <c r="F446" s="63"/>
      <c r="G446" s="69"/>
      <c r="H446" s="69"/>
      <c r="I446" s="69"/>
      <c r="J446" s="63"/>
      <c r="K446" s="63"/>
      <c r="L446" s="63"/>
      <c r="M446" s="66" t="str">
        <f aca="false">IF(OR($A446="",$H446&lt;&gt;""),"",Targets!$C$8-$I446)</f>
        <v/>
      </c>
      <c r="N446" s="66" t="str">
        <f aca="false">IF($A446="","",IF(AND($F446="Project",$E446="Active",$M446&lt;&gt;"",$M446&gt;Targets!$C$12),"Yes","No"))</f>
        <v/>
      </c>
      <c r="O446" s="66" t="str">
        <f aca="false">IF($A446="","",IF(AND($G446&gt;=Targets!$C$7,$G446&lt;=Targets!$C$8),"Yes","No"))</f>
        <v/>
      </c>
      <c r="P446" s="66" t="str">
        <f aca="false">IF($A446="","",IF(AND($H446&lt;&gt;"",$H446&gt;=Targets!$C$7,$H446&lt;=Targets!$C$8),"Yes","No"))</f>
        <v/>
      </c>
      <c r="Q446" s="66" t="str">
        <f aca="false">IF($A446="","",IF(AND($F446="Project",$E446&lt;&gt;"Closed",$E446&lt;&gt;"Dormant"),"Yes","No"))</f>
        <v/>
      </c>
      <c r="R446" s="66" t="str">
        <f aca="false">IF($A446="","",IF(AND($L446="In-house",OR($E446="Intake",$E446="Active",$E446="Waiting")),"Yes","No"))</f>
        <v/>
      </c>
      <c r="S446" s="66" t="str">
        <f aca="false">IF($A446="","",$C446&amp;" | "&amp;$D446)</f>
        <v/>
      </c>
      <c r="T446" s="66" t="str">
        <f aca="false">IF($A446="","",IF(AND($L446="Outside provider",OR($E446="Intake",$E446="Active",$E446="Waiting")),"Yes","No"))</f>
        <v/>
      </c>
    </row>
    <row r="447" customFormat="false" ht="15" hidden="false" customHeight="true" outlineLevel="0" collapsed="false">
      <c r="A447" s="67"/>
      <c r="B447" s="67"/>
      <c r="C447" s="67"/>
      <c r="D447" s="67"/>
      <c r="E447" s="67" t="str">
        <f aca="false">IF($A447="","",IFERROR(INDEX('Status map'!$D$6:$D$64,MATCH($C447&amp;" | "&amp;$D447,'Status map'!$I$6:$I$64,0)),"Unmapped"))</f>
        <v/>
      </c>
      <c r="F447" s="67"/>
      <c r="G447" s="70"/>
      <c r="H447" s="70"/>
      <c r="I447" s="70"/>
      <c r="J447" s="67"/>
      <c r="K447" s="67"/>
      <c r="L447" s="67"/>
      <c r="M447" s="66" t="str">
        <f aca="false">IF(OR($A447="",$H447&lt;&gt;""),"",Targets!$C$8-$I447)</f>
        <v/>
      </c>
      <c r="N447" s="66" t="str">
        <f aca="false">IF($A447="","",IF(AND($F447="Project",$E447="Active",$M447&lt;&gt;"",$M447&gt;Targets!$C$12),"Yes","No"))</f>
        <v/>
      </c>
      <c r="O447" s="66" t="str">
        <f aca="false">IF($A447="","",IF(AND($G447&gt;=Targets!$C$7,$G447&lt;=Targets!$C$8),"Yes","No"))</f>
        <v/>
      </c>
      <c r="P447" s="66" t="str">
        <f aca="false">IF($A447="","",IF(AND($H447&lt;&gt;"",$H447&gt;=Targets!$C$7,$H447&lt;=Targets!$C$8),"Yes","No"))</f>
        <v/>
      </c>
      <c r="Q447" s="66" t="str">
        <f aca="false">IF($A447="","",IF(AND($F447="Project",$E447&lt;&gt;"Closed",$E447&lt;&gt;"Dormant"),"Yes","No"))</f>
        <v/>
      </c>
      <c r="R447" s="66" t="str">
        <f aca="false">IF($A447="","",IF(AND($L447="In-house",OR($E447="Intake",$E447="Active",$E447="Waiting")),"Yes","No"))</f>
        <v/>
      </c>
      <c r="S447" s="66" t="str">
        <f aca="false">IF($A447="","",$C447&amp;" | "&amp;$D447)</f>
        <v/>
      </c>
      <c r="T447" s="66" t="str">
        <f aca="false">IF($A447="","",IF(AND($L447="Outside provider",OR($E447="Intake",$E447="Active",$E447="Waiting")),"Yes","No"))</f>
        <v/>
      </c>
    </row>
    <row r="448" customFormat="false" ht="15" hidden="false" customHeight="true" outlineLevel="0" collapsed="false">
      <c r="A448" s="63"/>
      <c r="B448" s="63"/>
      <c r="C448" s="63"/>
      <c r="D448" s="63"/>
      <c r="E448" s="63" t="str">
        <f aca="false">IF($A448="","",IFERROR(INDEX('Status map'!$D$6:$D$64,MATCH($C448&amp;" | "&amp;$D448,'Status map'!$I$6:$I$64,0)),"Unmapped"))</f>
        <v/>
      </c>
      <c r="F448" s="63"/>
      <c r="G448" s="69"/>
      <c r="H448" s="69"/>
      <c r="I448" s="69"/>
      <c r="J448" s="63"/>
      <c r="K448" s="63"/>
      <c r="L448" s="63"/>
      <c r="M448" s="66" t="str">
        <f aca="false">IF(OR($A448="",$H448&lt;&gt;""),"",Targets!$C$8-$I448)</f>
        <v/>
      </c>
      <c r="N448" s="66" t="str">
        <f aca="false">IF($A448="","",IF(AND($F448="Project",$E448="Active",$M448&lt;&gt;"",$M448&gt;Targets!$C$12),"Yes","No"))</f>
        <v/>
      </c>
      <c r="O448" s="66" t="str">
        <f aca="false">IF($A448="","",IF(AND($G448&gt;=Targets!$C$7,$G448&lt;=Targets!$C$8),"Yes","No"))</f>
        <v/>
      </c>
      <c r="P448" s="66" t="str">
        <f aca="false">IF($A448="","",IF(AND($H448&lt;&gt;"",$H448&gt;=Targets!$C$7,$H448&lt;=Targets!$C$8),"Yes","No"))</f>
        <v/>
      </c>
      <c r="Q448" s="66" t="str">
        <f aca="false">IF($A448="","",IF(AND($F448="Project",$E448&lt;&gt;"Closed",$E448&lt;&gt;"Dormant"),"Yes","No"))</f>
        <v/>
      </c>
      <c r="R448" s="66" t="str">
        <f aca="false">IF($A448="","",IF(AND($L448="In-house",OR($E448="Intake",$E448="Active",$E448="Waiting")),"Yes","No"))</f>
        <v/>
      </c>
      <c r="S448" s="66" t="str">
        <f aca="false">IF($A448="","",$C448&amp;" | "&amp;$D448)</f>
        <v/>
      </c>
      <c r="T448" s="66" t="str">
        <f aca="false">IF($A448="","",IF(AND($L448="Outside provider",OR($E448="Intake",$E448="Active",$E448="Waiting")),"Yes","No"))</f>
        <v/>
      </c>
    </row>
    <row r="449" customFormat="false" ht="15" hidden="false" customHeight="true" outlineLevel="0" collapsed="false">
      <c r="A449" s="67"/>
      <c r="B449" s="67"/>
      <c r="C449" s="67"/>
      <c r="D449" s="67"/>
      <c r="E449" s="67" t="str">
        <f aca="false">IF($A449="","",IFERROR(INDEX('Status map'!$D$6:$D$64,MATCH($C449&amp;" | "&amp;$D449,'Status map'!$I$6:$I$64,0)),"Unmapped"))</f>
        <v/>
      </c>
      <c r="F449" s="67"/>
      <c r="G449" s="70"/>
      <c r="H449" s="70"/>
      <c r="I449" s="70"/>
      <c r="J449" s="67"/>
      <c r="K449" s="67"/>
      <c r="L449" s="67"/>
      <c r="M449" s="66" t="str">
        <f aca="false">IF(OR($A449="",$H449&lt;&gt;""),"",Targets!$C$8-$I449)</f>
        <v/>
      </c>
      <c r="N449" s="66" t="str">
        <f aca="false">IF($A449="","",IF(AND($F449="Project",$E449="Active",$M449&lt;&gt;"",$M449&gt;Targets!$C$12),"Yes","No"))</f>
        <v/>
      </c>
      <c r="O449" s="66" t="str">
        <f aca="false">IF($A449="","",IF(AND($G449&gt;=Targets!$C$7,$G449&lt;=Targets!$C$8),"Yes","No"))</f>
        <v/>
      </c>
      <c r="P449" s="66" t="str">
        <f aca="false">IF($A449="","",IF(AND($H449&lt;&gt;"",$H449&gt;=Targets!$C$7,$H449&lt;=Targets!$C$8),"Yes","No"))</f>
        <v/>
      </c>
      <c r="Q449" s="66" t="str">
        <f aca="false">IF($A449="","",IF(AND($F449="Project",$E449&lt;&gt;"Closed",$E449&lt;&gt;"Dormant"),"Yes","No"))</f>
        <v/>
      </c>
      <c r="R449" s="66" t="str">
        <f aca="false">IF($A449="","",IF(AND($L449="In-house",OR($E449="Intake",$E449="Active",$E449="Waiting")),"Yes","No"))</f>
        <v/>
      </c>
      <c r="S449" s="66" t="str">
        <f aca="false">IF($A449="","",$C449&amp;" | "&amp;$D449)</f>
        <v/>
      </c>
      <c r="T449" s="66" t="str">
        <f aca="false">IF($A449="","",IF(AND($L449="Outside provider",OR($E449="Intake",$E449="Active",$E449="Waiting")),"Yes","No"))</f>
        <v/>
      </c>
    </row>
    <row r="450" customFormat="false" ht="15" hidden="false" customHeight="true" outlineLevel="0" collapsed="false">
      <c r="A450" s="63"/>
      <c r="B450" s="63"/>
      <c r="C450" s="63"/>
      <c r="D450" s="63"/>
      <c r="E450" s="63" t="str">
        <f aca="false">IF($A450="","",IFERROR(INDEX('Status map'!$D$6:$D$64,MATCH($C450&amp;" | "&amp;$D450,'Status map'!$I$6:$I$64,0)),"Unmapped"))</f>
        <v/>
      </c>
      <c r="F450" s="63"/>
      <c r="G450" s="69"/>
      <c r="H450" s="69"/>
      <c r="I450" s="69"/>
      <c r="J450" s="63"/>
      <c r="K450" s="63"/>
      <c r="L450" s="63"/>
      <c r="M450" s="66" t="str">
        <f aca="false">IF(OR($A450="",$H450&lt;&gt;""),"",Targets!$C$8-$I450)</f>
        <v/>
      </c>
      <c r="N450" s="66" t="str">
        <f aca="false">IF($A450="","",IF(AND($F450="Project",$E450="Active",$M450&lt;&gt;"",$M450&gt;Targets!$C$12),"Yes","No"))</f>
        <v/>
      </c>
      <c r="O450" s="66" t="str">
        <f aca="false">IF($A450="","",IF(AND($G450&gt;=Targets!$C$7,$G450&lt;=Targets!$C$8),"Yes","No"))</f>
        <v/>
      </c>
      <c r="P450" s="66" t="str">
        <f aca="false">IF($A450="","",IF(AND($H450&lt;&gt;"",$H450&gt;=Targets!$C$7,$H450&lt;=Targets!$C$8),"Yes","No"))</f>
        <v/>
      </c>
      <c r="Q450" s="66" t="str">
        <f aca="false">IF($A450="","",IF(AND($F450="Project",$E450&lt;&gt;"Closed",$E450&lt;&gt;"Dormant"),"Yes","No"))</f>
        <v/>
      </c>
      <c r="R450" s="66" t="str">
        <f aca="false">IF($A450="","",IF(AND($L450="In-house",OR($E450="Intake",$E450="Active",$E450="Waiting")),"Yes","No"))</f>
        <v/>
      </c>
      <c r="S450" s="66" t="str">
        <f aca="false">IF($A450="","",$C450&amp;" | "&amp;$D450)</f>
        <v/>
      </c>
      <c r="T450" s="66" t="str">
        <f aca="false">IF($A450="","",IF(AND($L450="Outside provider",OR($E450="Intake",$E450="Active",$E450="Waiting")),"Yes","No"))</f>
        <v/>
      </c>
    </row>
    <row r="451" customFormat="false" ht="15" hidden="false" customHeight="true" outlineLevel="0" collapsed="false">
      <c r="A451" s="67"/>
      <c r="B451" s="67"/>
      <c r="C451" s="67"/>
      <c r="D451" s="67"/>
      <c r="E451" s="67" t="str">
        <f aca="false">IF($A451="","",IFERROR(INDEX('Status map'!$D$6:$D$64,MATCH($C451&amp;" | "&amp;$D451,'Status map'!$I$6:$I$64,0)),"Unmapped"))</f>
        <v/>
      </c>
      <c r="F451" s="67"/>
      <c r="G451" s="70"/>
      <c r="H451" s="70"/>
      <c r="I451" s="70"/>
      <c r="J451" s="67"/>
      <c r="K451" s="67"/>
      <c r="L451" s="67"/>
      <c r="M451" s="66" t="str">
        <f aca="false">IF(OR($A451="",$H451&lt;&gt;""),"",Targets!$C$8-$I451)</f>
        <v/>
      </c>
      <c r="N451" s="66" t="str">
        <f aca="false">IF($A451="","",IF(AND($F451="Project",$E451="Active",$M451&lt;&gt;"",$M451&gt;Targets!$C$12),"Yes","No"))</f>
        <v/>
      </c>
      <c r="O451" s="66" t="str">
        <f aca="false">IF($A451="","",IF(AND($G451&gt;=Targets!$C$7,$G451&lt;=Targets!$C$8),"Yes","No"))</f>
        <v/>
      </c>
      <c r="P451" s="66" t="str">
        <f aca="false">IF($A451="","",IF(AND($H451&lt;&gt;"",$H451&gt;=Targets!$C$7,$H451&lt;=Targets!$C$8),"Yes","No"))</f>
        <v/>
      </c>
      <c r="Q451" s="66" t="str">
        <f aca="false">IF($A451="","",IF(AND($F451="Project",$E451&lt;&gt;"Closed",$E451&lt;&gt;"Dormant"),"Yes","No"))</f>
        <v/>
      </c>
      <c r="R451" s="66" t="str">
        <f aca="false">IF($A451="","",IF(AND($L451="In-house",OR($E451="Intake",$E451="Active",$E451="Waiting")),"Yes","No"))</f>
        <v/>
      </c>
      <c r="S451" s="66" t="str">
        <f aca="false">IF($A451="","",$C451&amp;" | "&amp;$D451)</f>
        <v/>
      </c>
      <c r="T451" s="66" t="str">
        <f aca="false">IF($A451="","",IF(AND($L451="Outside provider",OR($E451="Intake",$E451="Active",$E451="Waiting")),"Yes","No"))</f>
        <v/>
      </c>
    </row>
    <row r="452" customFormat="false" ht="15" hidden="false" customHeight="true" outlineLevel="0" collapsed="false">
      <c r="A452" s="63"/>
      <c r="B452" s="63"/>
      <c r="C452" s="63"/>
      <c r="D452" s="63"/>
      <c r="E452" s="63" t="str">
        <f aca="false">IF($A452="","",IFERROR(INDEX('Status map'!$D$6:$D$64,MATCH($C452&amp;" | "&amp;$D452,'Status map'!$I$6:$I$64,0)),"Unmapped"))</f>
        <v/>
      </c>
      <c r="F452" s="63"/>
      <c r="G452" s="69"/>
      <c r="H452" s="69"/>
      <c r="I452" s="69"/>
      <c r="J452" s="63"/>
      <c r="K452" s="63"/>
      <c r="L452" s="63"/>
      <c r="M452" s="66" t="str">
        <f aca="false">IF(OR($A452="",$H452&lt;&gt;""),"",Targets!$C$8-$I452)</f>
        <v/>
      </c>
      <c r="N452" s="66" t="str">
        <f aca="false">IF($A452="","",IF(AND($F452="Project",$E452="Active",$M452&lt;&gt;"",$M452&gt;Targets!$C$12),"Yes","No"))</f>
        <v/>
      </c>
      <c r="O452" s="66" t="str">
        <f aca="false">IF($A452="","",IF(AND($G452&gt;=Targets!$C$7,$G452&lt;=Targets!$C$8),"Yes","No"))</f>
        <v/>
      </c>
      <c r="P452" s="66" t="str">
        <f aca="false">IF($A452="","",IF(AND($H452&lt;&gt;"",$H452&gt;=Targets!$C$7,$H452&lt;=Targets!$C$8),"Yes","No"))</f>
        <v/>
      </c>
      <c r="Q452" s="66" t="str">
        <f aca="false">IF($A452="","",IF(AND($F452="Project",$E452&lt;&gt;"Closed",$E452&lt;&gt;"Dormant"),"Yes","No"))</f>
        <v/>
      </c>
      <c r="R452" s="66" t="str">
        <f aca="false">IF($A452="","",IF(AND($L452="In-house",OR($E452="Intake",$E452="Active",$E452="Waiting")),"Yes","No"))</f>
        <v/>
      </c>
      <c r="S452" s="66" t="str">
        <f aca="false">IF($A452="","",$C452&amp;" | "&amp;$D452)</f>
        <v/>
      </c>
      <c r="T452" s="66" t="str">
        <f aca="false">IF($A452="","",IF(AND($L452="Outside provider",OR($E452="Intake",$E452="Active",$E452="Waiting")),"Yes","No"))</f>
        <v/>
      </c>
    </row>
    <row r="453" customFormat="false" ht="15" hidden="false" customHeight="true" outlineLevel="0" collapsed="false">
      <c r="A453" s="67"/>
      <c r="B453" s="67"/>
      <c r="C453" s="67"/>
      <c r="D453" s="67"/>
      <c r="E453" s="67" t="str">
        <f aca="false">IF($A453="","",IFERROR(INDEX('Status map'!$D$6:$D$64,MATCH($C453&amp;" | "&amp;$D453,'Status map'!$I$6:$I$64,0)),"Unmapped"))</f>
        <v/>
      </c>
      <c r="F453" s="67"/>
      <c r="G453" s="70"/>
      <c r="H453" s="70"/>
      <c r="I453" s="70"/>
      <c r="J453" s="67"/>
      <c r="K453" s="67"/>
      <c r="L453" s="67"/>
      <c r="M453" s="66" t="str">
        <f aca="false">IF(OR($A453="",$H453&lt;&gt;""),"",Targets!$C$8-$I453)</f>
        <v/>
      </c>
      <c r="N453" s="66" t="str">
        <f aca="false">IF($A453="","",IF(AND($F453="Project",$E453="Active",$M453&lt;&gt;"",$M453&gt;Targets!$C$12),"Yes","No"))</f>
        <v/>
      </c>
      <c r="O453" s="66" t="str">
        <f aca="false">IF($A453="","",IF(AND($G453&gt;=Targets!$C$7,$G453&lt;=Targets!$C$8),"Yes","No"))</f>
        <v/>
      </c>
      <c r="P453" s="66" t="str">
        <f aca="false">IF($A453="","",IF(AND($H453&lt;&gt;"",$H453&gt;=Targets!$C$7,$H453&lt;=Targets!$C$8),"Yes","No"))</f>
        <v/>
      </c>
      <c r="Q453" s="66" t="str">
        <f aca="false">IF($A453="","",IF(AND($F453="Project",$E453&lt;&gt;"Closed",$E453&lt;&gt;"Dormant"),"Yes","No"))</f>
        <v/>
      </c>
      <c r="R453" s="66" t="str">
        <f aca="false">IF($A453="","",IF(AND($L453="In-house",OR($E453="Intake",$E453="Active",$E453="Waiting")),"Yes","No"))</f>
        <v/>
      </c>
      <c r="S453" s="66" t="str">
        <f aca="false">IF($A453="","",$C453&amp;" | "&amp;$D453)</f>
        <v/>
      </c>
      <c r="T453" s="66" t="str">
        <f aca="false">IF($A453="","",IF(AND($L453="Outside provider",OR($E453="Intake",$E453="Active",$E453="Waiting")),"Yes","No"))</f>
        <v/>
      </c>
    </row>
    <row r="454" customFormat="false" ht="15" hidden="false" customHeight="true" outlineLevel="0" collapsed="false">
      <c r="A454" s="63"/>
      <c r="B454" s="63"/>
      <c r="C454" s="63"/>
      <c r="D454" s="63"/>
      <c r="E454" s="63" t="str">
        <f aca="false">IF($A454="","",IFERROR(INDEX('Status map'!$D$6:$D$64,MATCH($C454&amp;" | "&amp;$D454,'Status map'!$I$6:$I$64,0)),"Unmapped"))</f>
        <v/>
      </c>
      <c r="F454" s="63"/>
      <c r="G454" s="69"/>
      <c r="H454" s="69"/>
      <c r="I454" s="69"/>
      <c r="J454" s="63"/>
      <c r="K454" s="63"/>
      <c r="L454" s="63"/>
      <c r="M454" s="66" t="str">
        <f aca="false">IF(OR($A454="",$H454&lt;&gt;""),"",Targets!$C$8-$I454)</f>
        <v/>
      </c>
      <c r="N454" s="66" t="str">
        <f aca="false">IF($A454="","",IF(AND($F454="Project",$E454="Active",$M454&lt;&gt;"",$M454&gt;Targets!$C$12),"Yes","No"))</f>
        <v/>
      </c>
      <c r="O454" s="66" t="str">
        <f aca="false">IF($A454="","",IF(AND($G454&gt;=Targets!$C$7,$G454&lt;=Targets!$C$8),"Yes","No"))</f>
        <v/>
      </c>
      <c r="P454" s="66" t="str">
        <f aca="false">IF($A454="","",IF(AND($H454&lt;&gt;"",$H454&gt;=Targets!$C$7,$H454&lt;=Targets!$C$8),"Yes","No"))</f>
        <v/>
      </c>
      <c r="Q454" s="66" t="str">
        <f aca="false">IF($A454="","",IF(AND($F454="Project",$E454&lt;&gt;"Closed",$E454&lt;&gt;"Dormant"),"Yes","No"))</f>
        <v/>
      </c>
      <c r="R454" s="66" t="str">
        <f aca="false">IF($A454="","",IF(AND($L454="In-house",OR($E454="Intake",$E454="Active",$E454="Waiting")),"Yes","No"))</f>
        <v/>
      </c>
      <c r="S454" s="66" t="str">
        <f aca="false">IF($A454="","",$C454&amp;" | "&amp;$D454)</f>
        <v/>
      </c>
      <c r="T454" s="66" t="str">
        <f aca="false">IF($A454="","",IF(AND($L454="Outside provider",OR($E454="Intake",$E454="Active",$E454="Waiting")),"Yes","No"))</f>
        <v/>
      </c>
    </row>
    <row r="455" customFormat="false" ht="15" hidden="false" customHeight="true" outlineLevel="0" collapsed="false">
      <c r="A455" s="67"/>
      <c r="B455" s="67"/>
      <c r="C455" s="67"/>
      <c r="D455" s="67"/>
      <c r="E455" s="67" t="str">
        <f aca="false">IF($A455="","",IFERROR(INDEX('Status map'!$D$6:$D$64,MATCH($C455&amp;" | "&amp;$D455,'Status map'!$I$6:$I$64,0)),"Unmapped"))</f>
        <v/>
      </c>
      <c r="F455" s="67"/>
      <c r="G455" s="70"/>
      <c r="H455" s="70"/>
      <c r="I455" s="70"/>
      <c r="J455" s="67"/>
      <c r="K455" s="67"/>
      <c r="L455" s="67"/>
      <c r="M455" s="66" t="str">
        <f aca="false">IF(OR($A455="",$H455&lt;&gt;""),"",Targets!$C$8-$I455)</f>
        <v/>
      </c>
      <c r="N455" s="66" t="str">
        <f aca="false">IF($A455="","",IF(AND($F455="Project",$E455="Active",$M455&lt;&gt;"",$M455&gt;Targets!$C$12),"Yes","No"))</f>
        <v/>
      </c>
      <c r="O455" s="66" t="str">
        <f aca="false">IF($A455="","",IF(AND($G455&gt;=Targets!$C$7,$G455&lt;=Targets!$C$8),"Yes","No"))</f>
        <v/>
      </c>
      <c r="P455" s="66" t="str">
        <f aca="false">IF($A455="","",IF(AND($H455&lt;&gt;"",$H455&gt;=Targets!$C$7,$H455&lt;=Targets!$C$8),"Yes","No"))</f>
        <v/>
      </c>
      <c r="Q455" s="66" t="str">
        <f aca="false">IF($A455="","",IF(AND($F455="Project",$E455&lt;&gt;"Closed",$E455&lt;&gt;"Dormant"),"Yes","No"))</f>
        <v/>
      </c>
      <c r="R455" s="66" t="str">
        <f aca="false">IF($A455="","",IF(AND($L455="In-house",OR($E455="Intake",$E455="Active",$E455="Waiting")),"Yes","No"))</f>
        <v/>
      </c>
      <c r="S455" s="66" t="str">
        <f aca="false">IF($A455="","",$C455&amp;" | "&amp;$D455)</f>
        <v/>
      </c>
      <c r="T455" s="66" t="str">
        <f aca="false">IF($A455="","",IF(AND($L455="Outside provider",OR($E455="Intake",$E455="Active",$E455="Waiting")),"Yes","No"))</f>
        <v/>
      </c>
    </row>
    <row r="456" customFormat="false" ht="15" hidden="false" customHeight="true" outlineLevel="0" collapsed="false">
      <c r="A456" s="63"/>
      <c r="B456" s="63"/>
      <c r="C456" s="63"/>
      <c r="D456" s="63"/>
      <c r="E456" s="63" t="str">
        <f aca="false">IF($A456="","",IFERROR(INDEX('Status map'!$D$6:$D$64,MATCH($C456&amp;" | "&amp;$D456,'Status map'!$I$6:$I$64,0)),"Unmapped"))</f>
        <v/>
      </c>
      <c r="F456" s="63"/>
      <c r="G456" s="69"/>
      <c r="H456" s="69"/>
      <c r="I456" s="69"/>
      <c r="J456" s="63"/>
      <c r="K456" s="63"/>
      <c r="L456" s="63"/>
      <c r="M456" s="66" t="str">
        <f aca="false">IF(OR($A456="",$H456&lt;&gt;""),"",Targets!$C$8-$I456)</f>
        <v/>
      </c>
      <c r="N456" s="66" t="str">
        <f aca="false">IF($A456="","",IF(AND($F456="Project",$E456="Active",$M456&lt;&gt;"",$M456&gt;Targets!$C$12),"Yes","No"))</f>
        <v/>
      </c>
      <c r="O456" s="66" t="str">
        <f aca="false">IF($A456="","",IF(AND($G456&gt;=Targets!$C$7,$G456&lt;=Targets!$C$8),"Yes","No"))</f>
        <v/>
      </c>
      <c r="P456" s="66" t="str">
        <f aca="false">IF($A456="","",IF(AND($H456&lt;&gt;"",$H456&gt;=Targets!$C$7,$H456&lt;=Targets!$C$8),"Yes","No"))</f>
        <v/>
      </c>
      <c r="Q456" s="66" t="str">
        <f aca="false">IF($A456="","",IF(AND($F456="Project",$E456&lt;&gt;"Closed",$E456&lt;&gt;"Dormant"),"Yes","No"))</f>
        <v/>
      </c>
      <c r="R456" s="66" t="str">
        <f aca="false">IF($A456="","",IF(AND($L456="In-house",OR($E456="Intake",$E456="Active",$E456="Waiting")),"Yes","No"))</f>
        <v/>
      </c>
      <c r="S456" s="66" t="str">
        <f aca="false">IF($A456="","",$C456&amp;" | "&amp;$D456)</f>
        <v/>
      </c>
      <c r="T456" s="66" t="str">
        <f aca="false">IF($A456="","",IF(AND($L456="Outside provider",OR($E456="Intake",$E456="Active",$E456="Waiting")),"Yes","No"))</f>
        <v/>
      </c>
    </row>
    <row r="457" customFormat="false" ht="15" hidden="false" customHeight="true" outlineLevel="0" collapsed="false">
      <c r="A457" s="67"/>
      <c r="B457" s="67"/>
      <c r="C457" s="67"/>
      <c r="D457" s="67"/>
      <c r="E457" s="67" t="str">
        <f aca="false">IF($A457="","",IFERROR(INDEX('Status map'!$D$6:$D$64,MATCH($C457&amp;" | "&amp;$D457,'Status map'!$I$6:$I$64,0)),"Unmapped"))</f>
        <v/>
      </c>
      <c r="F457" s="67"/>
      <c r="G457" s="70"/>
      <c r="H457" s="70"/>
      <c r="I457" s="70"/>
      <c r="J457" s="67"/>
      <c r="K457" s="67"/>
      <c r="L457" s="67"/>
      <c r="M457" s="66" t="str">
        <f aca="false">IF(OR($A457="",$H457&lt;&gt;""),"",Targets!$C$8-$I457)</f>
        <v/>
      </c>
      <c r="N457" s="66" t="str">
        <f aca="false">IF($A457="","",IF(AND($F457="Project",$E457="Active",$M457&lt;&gt;"",$M457&gt;Targets!$C$12),"Yes","No"))</f>
        <v/>
      </c>
      <c r="O457" s="66" t="str">
        <f aca="false">IF($A457="","",IF(AND($G457&gt;=Targets!$C$7,$G457&lt;=Targets!$C$8),"Yes","No"))</f>
        <v/>
      </c>
      <c r="P457" s="66" t="str">
        <f aca="false">IF($A457="","",IF(AND($H457&lt;&gt;"",$H457&gt;=Targets!$C$7,$H457&lt;=Targets!$C$8),"Yes","No"))</f>
        <v/>
      </c>
      <c r="Q457" s="66" t="str">
        <f aca="false">IF($A457="","",IF(AND($F457="Project",$E457&lt;&gt;"Closed",$E457&lt;&gt;"Dormant"),"Yes","No"))</f>
        <v/>
      </c>
      <c r="R457" s="66" t="str">
        <f aca="false">IF($A457="","",IF(AND($L457="In-house",OR($E457="Intake",$E457="Active",$E457="Waiting")),"Yes","No"))</f>
        <v/>
      </c>
      <c r="S457" s="66" t="str">
        <f aca="false">IF($A457="","",$C457&amp;" | "&amp;$D457)</f>
        <v/>
      </c>
      <c r="T457" s="66" t="str">
        <f aca="false">IF($A457="","",IF(AND($L457="Outside provider",OR($E457="Intake",$E457="Active",$E457="Waiting")),"Yes","No"))</f>
        <v/>
      </c>
    </row>
    <row r="458" customFormat="false" ht="15" hidden="false" customHeight="true" outlineLevel="0" collapsed="false">
      <c r="A458" s="63"/>
      <c r="B458" s="63"/>
      <c r="C458" s="63"/>
      <c r="D458" s="63"/>
      <c r="E458" s="63" t="str">
        <f aca="false">IF($A458="","",IFERROR(INDEX('Status map'!$D$6:$D$64,MATCH($C458&amp;" | "&amp;$D458,'Status map'!$I$6:$I$64,0)),"Unmapped"))</f>
        <v/>
      </c>
      <c r="F458" s="63"/>
      <c r="G458" s="69"/>
      <c r="H458" s="69"/>
      <c r="I458" s="69"/>
      <c r="J458" s="63"/>
      <c r="K458" s="63"/>
      <c r="L458" s="63"/>
      <c r="M458" s="66" t="str">
        <f aca="false">IF(OR($A458="",$H458&lt;&gt;""),"",Targets!$C$8-$I458)</f>
        <v/>
      </c>
      <c r="N458" s="66" t="str">
        <f aca="false">IF($A458="","",IF(AND($F458="Project",$E458="Active",$M458&lt;&gt;"",$M458&gt;Targets!$C$12),"Yes","No"))</f>
        <v/>
      </c>
      <c r="O458" s="66" t="str">
        <f aca="false">IF($A458="","",IF(AND($G458&gt;=Targets!$C$7,$G458&lt;=Targets!$C$8),"Yes","No"))</f>
        <v/>
      </c>
      <c r="P458" s="66" t="str">
        <f aca="false">IF($A458="","",IF(AND($H458&lt;&gt;"",$H458&gt;=Targets!$C$7,$H458&lt;=Targets!$C$8),"Yes","No"))</f>
        <v/>
      </c>
      <c r="Q458" s="66" t="str">
        <f aca="false">IF($A458="","",IF(AND($F458="Project",$E458&lt;&gt;"Closed",$E458&lt;&gt;"Dormant"),"Yes","No"))</f>
        <v/>
      </c>
      <c r="R458" s="66" t="str">
        <f aca="false">IF($A458="","",IF(AND($L458="In-house",OR($E458="Intake",$E458="Active",$E458="Waiting")),"Yes","No"))</f>
        <v/>
      </c>
      <c r="S458" s="66" t="str">
        <f aca="false">IF($A458="","",$C458&amp;" | "&amp;$D458)</f>
        <v/>
      </c>
      <c r="T458" s="66" t="str">
        <f aca="false">IF($A458="","",IF(AND($L458="Outside provider",OR($E458="Intake",$E458="Active",$E458="Waiting")),"Yes","No"))</f>
        <v/>
      </c>
    </row>
    <row r="459" customFormat="false" ht="15" hidden="false" customHeight="true" outlineLevel="0" collapsed="false">
      <c r="A459" s="67"/>
      <c r="B459" s="67"/>
      <c r="C459" s="67"/>
      <c r="D459" s="67"/>
      <c r="E459" s="67" t="str">
        <f aca="false">IF($A459="","",IFERROR(INDEX('Status map'!$D$6:$D$64,MATCH($C459&amp;" | "&amp;$D459,'Status map'!$I$6:$I$64,0)),"Unmapped"))</f>
        <v/>
      </c>
      <c r="F459" s="67"/>
      <c r="G459" s="70"/>
      <c r="H459" s="70"/>
      <c r="I459" s="70"/>
      <c r="J459" s="67"/>
      <c r="K459" s="67"/>
      <c r="L459" s="67"/>
      <c r="M459" s="66" t="str">
        <f aca="false">IF(OR($A459="",$H459&lt;&gt;""),"",Targets!$C$8-$I459)</f>
        <v/>
      </c>
      <c r="N459" s="66" t="str">
        <f aca="false">IF($A459="","",IF(AND($F459="Project",$E459="Active",$M459&lt;&gt;"",$M459&gt;Targets!$C$12),"Yes","No"))</f>
        <v/>
      </c>
      <c r="O459" s="66" t="str">
        <f aca="false">IF($A459="","",IF(AND($G459&gt;=Targets!$C$7,$G459&lt;=Targets!$C$8),"Yes","No"))</f>
        <v/>
      </c>
      <c r="P459" s="66" t="str">
        <f aca="false">IF($A459="","",IF(AND($H459&lt;&gt;"",$H459&gt;=Targets!$C$7,$H459&lt;=Targets!$C$8),"Yes","No"))</f>
        <v/>
      </c>
      <c r="Q459" s="66" t="str">
        <f aca="false">IF($A459="","",IF(AND($F459="Project",$E459&lt;&gt;"Closed",$E459&lt;&gt;"Dormant"),"Yes","No"))</f>
        <v/>
      </c>
      <c r="R459" s="66" t="str">
        <f aca="false">IF($A459="","",IF(AND($L459="In-house",OR($E459="Intake",$E459="Active",$E459="Waiting")),"Yes","No"))</f>
        <v/>
      </c>
      <c r="S459" s="66" t="str">
        <f aca="false">IF($A459="","",$C459&amp;" | "&amp;$D459)</f>
        <v/>
      </c>
      <c r="T459" s="66" t="str">
        <f aca="false">IF($A459="","",IF(AND($L459="Outside provider",OR($E459="Intake",$E459="Active",$E459="Waiting")),"Yes","No"))</f>
        <v/>
      </c>
    </row>
    <row r="460" customFormat="false" ht="15" hidden="false" customHeight="true" outlineLevel="0" collapsed="false">
      <c r="A460" s="63"/>
      <c r="B460" s="63"/>
      <c r="C460" s="63"/>
      <c r="D460" s="63"/>
      <c r="E460" s="63" t="str">
        <f aca="false">IF($A460="","",IFERROR(INDEX('Status map'!$D$6:$D$64,MATCH($C460&amp;" | "&amp;$D460,'Status map'!$I$6:$I$64,0)),"Unmapped"))</f>
        <v/>
      </c>
      <c r="F460" s="63"/>
      <c r="G460" s="69"/>
      <c r="H460" s="69"/>
      <c r="I460" s="69"/>
      <c r="J460" s="63"/>
      <c r="K460" s="63"/>
      <c r="L460" s="63"/>
      <c r="M460" s="66" t="str">
        <f aca="false">IF(OR($A460="",$H460&lt;&gt;""),"",Targets!$C$8-$I460)</f>
        <v/>
      </c>
      <c r="N460" s="66" t="str">
        <f aca="false">IF($A460="","",IF(AND($F460="Project",$E460="Active",$M460&lt;&gt;"",$M460&gt;Targets!$C$12),"Yes","No"))</f>
        <v/>
      </c>
      <c r="O460" s="66" t="str">
        <f aca="false">IF($A460="","",IF(AND($G460&gt;=Targets!$C$7,$G460&lt;=Targets!$C$8),"Yes","No"))</f>
        <v/>
      </c>
      <c r="P460" s="66" t="str">
        <f aca="false">IF($A460="","",IF(AND($H460&lt;&gt;"",$H460&gt;=Targets!$C$7,$H460&lt;=Targets!$C$8),"Yes","No"))</f>
        <v/>
      </c>
      <c r="Q460" s="66" t="str">
        <f aca="false">IF($A460="","",IF(AND($F460="Project",$E460&lt;&gt;"Closed",$E460&lt;&gt;"Dormant"),"Yes","No"))</f>
        <v/>
      </c>
      <c r="R460" s="66" t="str">
        <f aca="false">IF($A460="","",IF(AND($L460="In-house",OR($E460="Intake",$E460="Active",$E460="Waiting")),"Yes","No"))</f>
        <v/>
      </c>
      <c r="S460" s="66" t="str">
        <f aca="false">IF($A460="","",$C460&amp;" | "&amp;$D460)</f>
        <v/>
      </c>
      <c r="T460" s="66" t="str">
        <f aca="false">IF($A460="","",IF(AND($L460="Outside provider",OR($E460="Intake",$E460="Active",$E460="Waiting")),"Yes","No"))</f>
        <v/>
      </c>
    </row>
    <row r="461" customFormat="false" ht="15" hidden="false" customHeight="true" outlineLevel="0" collapsed="false">
      <c r="A461" s="67"/>
      <c r="B461" s="67"/>
      <c r="C461" s="67"/>
      <c r="D461" s="67"/>
      <c r="E461" s="67" t="str">
        <f aca="false">IF($A461="","",IFERROR(INDEX('Status map'!$D$6:$D$64,MATCH($C461&amp;" | "&amp;$D461,'Status map'!$I$6:$I$64,0)),"Unmapped"))</f>
        <v/>
      </c>
      <c r="F461" s="67"/>
      <c r="G461" s="70"/>
      <c r="H461" s="70"/>
      <c r="I461" s="70"/>
      <c r="J461" s="67"/>
      <c r="K461" s="67"/>
      <c r="L461" s="67"/>
      <c r="M461" s="66" t="str">
        <f aca="false">IF(OR($A461="",$H461&lt;&gt;""),"",Targets!$C$8-$I461)</f>
        <v/>
      </c>
      <c r="N461" s="66" t="str">
        <f aca="false">IF($A461="","",IF(AND($F461="Project",$E461="Active",$M461&lt;&gt;"",$M461&gt;Targets!$C$12),"Yes","No"))</f>
        <v/>
      </c>
      <c r="O461" s="66" t="str">
        <f aca="false">IF($A461="","",IF(AND($G461&gt;=Targets!$C$7,$G461&lt;=Targets!$C$8),"Yes","No"))</f>
        <v/>
      </c>
      <c r="P461" s="66" t="str">
        <f aca="false">IF($A461="","",IF(AND($H461&lt;&gt;"",$H461&gt;=Targets!$C$7,$H461&lt;=Targets!$C$8),"Yes","No"))</f>
        <v/>
      </c>
      <c r="Q461" s="66" t="str">
        <f aca="false">IF($A461="","",IF(AND($F461="Project",$E461&lt;&gt;"Closed",$E461&lt;&gt;"Dormant"),"Yes","No"))</f>
        <v/>
      </c>
      <c r="R461" s="66" t="str">
        <f aca="false">IF($A461="","",IF(AND($L461="In-house",OR($E461="Intake",$E461="Active",$E461="Waiting")),"Yes","No"))</f>
        <v/>
      </c>
      <c r="S461" s="66" t="str">
        <f aca="false">IF($A461="","",$C461&amp;" | "&amp;$D461)</f>
        <v/>
      </c>
      <c r="T461" s="66" t="str">
        <f aca="false">IF($A461="","",IF(AND($L461="Outside provider",OR($E461="Intake",$E461="Active",$E461="Waiting")),"Yes","No"))</f>
        <v/>
      </c>
    </row>
    <row r="462" customFormat="false" ht="15" hidden="false" customHeight="true" outlineLevel="0" collapsed="false">
      <c r="A462" s="63"/>
      <c r="B462" s="63"/>
      <c r="C462" s="63"/>
      <c r="D462" s="63"/>
      <c r="E462" s="63" t="str">
        <f aca="false">IF($A462="","",IFERROR(INDEX('Status map'!$D$6:$D$64,MATCH($C462&amp;" | "&amp;$D462,'Status map'!$I$6:$I$64,0)),"Unmapped"))</f>
        <v/>
      </c>
      <c r="F462" s="63"/>
      <c r="G462" s="69"/>
      <c r="H462" s="69"/>
      <c r="I462" s="69"/>
      <c r="J462" s="63"/>
      <c r="K462" s="63"/>
      <c r="L462" s="63"/>
      <c r="M462" s="66" t="str">
        <f aca="false">IF(OR($A462="",$H462&lt;&gt;""),"",Targets!$C$8-$I462)</f>
        <v/>
      </c>
      <c r="N462" s="66" t="str">
        <f aca="false">IF($A462="","",IF(AND($F462="Project",$E462="Active",$M462&lt;&gt;"",$M462&gt;Targets!$C$12),"Yes","No"))</f>
        <v/>
      </c>
      <c r="O462" s="66" t="str">
        <f aca="false">IF($A462="","",IF(AND($G462&gt;=Targets!$C$7,$G462&lt;=Targets!$C$8),"Yes","No"))</f>
        <v/>
      </c>
      <c r="P462" s="66" t="str">
        <f aca="false">IF($A462="","",IF(AND($H462&lt;&gt;"",$H462&gt;=Targets!$C$7,$H462&lt;=Targets!$C$8),"Yes","No"))</f>
        <v/>
      </c>
      <c r="Q462" s="66" t="str">
        <f aca="false">IF($A462="","",IF(AND($F462="Project",$E462&lt;&gt;"Closed",$E462&lt;&gt;"Dormant"),"Yes","No"))</f>
        <v/>
      </c>
      <c r="R462" s="66" t="str">
        <f aca="false">IF($A462="","",IF(AND($L462="In-house",OR($E462="Intake",$E462="Active",$E462="Waiting")),"Yes","No"))</f>
        <v/>
      </c>
      <c r="S462" s="66" t="str">
        <f aca="false">IF($A462="","",$C462&amp;" | "&amp;$D462)</f>
        <v/>
      </c>
      <c r="T462" s="66" t="str">
        <f aca="false">IF($A462="","",IF(AND($L462="Outside provider",OR($E462="Intake",$E462="Active",$E462="Waiting")),"Yes","No"))</f>
        <v/>
      </c>
    </row>
    <row r="463" customFormat="false" ht="15" hidden="false" customHeight="true" outlineLevel="0" collapsed="false">
      <c r="A463" s="67"/>
      <c r="B463" s="67"/>
      <c r="C463" s="67"/>
      <c r="D463" s="67"/>
      <c r="E463" s="67" t="str">
        <f aca="false">IF($A463="","",IFERROR(INDEX('Status map'!$D$6:$D$64,MATCH($C463&amp;" | "&amp;$D463,'Status map'!$I$6:$I$64,0)),"Unmapped"))</f>
        <v/>
      </c>
      <c r="F463" s="67"/>
      <c r="G463" s="70"/>
      <c r="H463" s="70"/>
      <c r="I463" s="70"/>
      <c r="J463" s="67"/>
      <c r="K463" s="67"/>
      <c r="L463" s="67"/>
      <c r="M463" s="66" t="str">
        <f aca="false">IF(OR($A463="",$H463&lt;&gt;""),"",Targets!$C$8-$I463)</f>
        <v/>
      </c>
      <c r="N463" s="66" t="str">
        <f aca="false">IF($A463="","",IF(AND($F463="Project",$E463="Active",$M463&lt;&gt;"",$M463&gt;Targets!$C$12),"Yes","No"))</f>
        <v/>
      </c>
      <c r="O463" s="66" t="str">
        <f aca="false">IF($A463="","",IF(AND($G463&gt;=Targets!$C$7,$G463&lt;=Targets!$C$8),"Yes","No"))</f>
        <v/>
      </c>
      <c r="P463" s="66" t="str">
        <f aca="false">IF($A463="","",IF(AND($H463&lt;&gt;"",$H463&gt;=Targets!$C$7,$H463&lt;=Targets!$C$8),"Yes","No"))</f>
        <v/>
      </c>
      <c r="Q463" s="66" t="str">
        <f aca="false">IF($A463="","",IF(AND($F463="Project",$E463&lt;&gt;"Closed",$E463&lt;&gt;"Dormant"),"Yes","No"))</f>
        <v/>
      </c>
      <c r="R463" s="66" t="str">
        <f aca="false">IF($A463="","",IF(AND($L463="In-house",OR($E463="Intake",$E463="Active",$E463="Waiting")),"Yes","No"))</f>
        <v/>
      </c>
      <c r="S463" s="66" t="str">
        <f aca="false">IF($A463="","",$C463&amp;" | "&amp;$D463)</f>
        <v/>
      </c>
      <c r="T463" s="66" t="str">
        <f aca="false">IF($A463="","",IF(AND($L463="Outside provider",OR($E463="Intake",$E463="Active",$E463="Waiting")),"Yes","No"))</f>
        <v/>
      </c>
    </row>
    <row r="464" customFormat="false" ht="15" hidden="false" customHeight="true" outlineLevel="0" collapsed="false">
      <c r="A464" s="63"/>
      <c r="B464" s="63"/>
      <c r="C464" s="63"/>
      <c r="D464" s="63"/>
      <c r="E464" s="63" t="str">
        <f aca="false">IF($A464="","",IFERROR(INDEX('Status map'!$D$6:$D$64,MATCH($C464&amp;" | "&amp;$D464,'Status map'!$I$6:$I$64,0)),"Unmapped"))</f>
        <v/>
      </c>
      <c r="F464" s="63"/>
      <c r="G464" s="69"/>
      <c r="H464" s="69"/>
      <c r="I464" s="69"/>
      <c r="J464" s="63"/>
      <c r="K464" s="63"/>
      <c r="L464" s="63"/>
      <c r="M464" s="66" t="str">
        <f aca="false">IF(OR($A464="",$H464&lt;&gt;""),"",Targets!$C$8-$I464)</f>
        <v/>
      </c>
      <c r="N464" s="66" t="str">
        <f aca="false">IF($A464="","",IF(AND($F464="Project",$E464="Active",$M464&lt;&gt;"",$M464&gt;Targets!$C$12),"Yes","No"))</f>
        <v/>
      </c>
      <c r="O464" s="66" t="str">
        <f aca="false">IF($A464="","",IF(AND($G464&gt;=Targets!$C$7,$G464&lt;=Targets!$C$8),"Yes","No"))</f>
        <v/>
      </c>
      <c r="P464" s="66" t="str">
        <f aca="false">IF($A464="","",IF(AND($H464&lt;&gt;"",$H464&gt;=Targets!$C$7,$H464&lt;=Targets!$C$8),"Yes","No"))</f>
        <v/>
      </c>
      <c r="Q464" s="66" t="str">
        <f aca="false">IF($A464="","",IF(AND($F464="Project",$E464&lt;&gt;"Closed",$E464&lt;&gt;"Dormant"),"Yes","No"))</f>
        <v/>
      </c>
      <c r="R464" s="66" t="str">
        <f aca="false">IF($A464="","",IF(AND($L464="In-house",OR($E464="Intake",$E464="Active",$E464="Waiting")),"Yes","No"))</f>
        <v/>
      </c>
      <c r="S464" s="66" t="str">
        <f aca="false">IF($A464="","",$C464&amp;" | "&amp;$D464)</f>
        <v/>
      </c>
      <c r="T464" s="66" t="str">
        <f aca="false">IF($A464="","",IF(AND($L464="Outside provider",OR($E464="Intake",$E464="Active",$E464="Waiting")),"Yes","No"))</f>
        <v/>
      </c>
    </row>
    <row r="465" customFormat="false" ht="15" hidden="false" customHeight="true" outlineLevel="0" collapsed="false">
      <c r="A465" s="67"/>
      <c r="B465" s="67"/>
      <c r="C465" s="67"/>
      <c r="D465" s="67"/>
      <c r="E465" s="67" t="str">
        <f aca="false">IF($A465="","",IFERROR(INDEX('Status map'!$D$6:$D$64,MATCH($C465&amp;" | "&amp;$D465,'Status map'!$I$6:$I$64,0)),"Unmapped"))</f>
        <v/>
      </c>
      <c r="F465" s="67"/>
      <c r="G465" s="70"/>
      <c r="H465" s="70"/>
      <c r="I465" s="70"/>
      <c r="J465" s="67"/>
      <c r="K465" s="67"/>
      <c r="L465" s="67"/>
      <c r="M465" s="66" t="str">
        <f aca="false">IF(OR($A465="",$H465&lt;&gt;""),"",Targets!$C$8-$I465)</f>
        <v/>
      </c>
      <c r="N465" s="66" t="str">
        <f aca="false">IF($A465="","",IF(AND($F465="Project",$E465="Active",$M465&lt;&gt;"",$M465&gt;Targets!$C$12),"Yes","No"))</f>
        <v/>
      </c>
      <c r="O465" s="66" t="str">
        <f aca="false">IF($A465="","",IF(AND($G465&gt;=Targets!$C$7,$G465&lt;=Targets!$C$8),"Yes","No"))</f>
        <v/>
      </c>
      <c r="P465" s="66" t="str">
        <f aca="false">IF($A465="","",IF(AND($H465&lt;&gt;"",$H465&gt;=Targets!$C$7,$H465&lt;=Targets!$C$8),"Yes","No"))</f>
        <v/>
      </c>
      <c r="Q465" s="66" t="str">
        <f aca="false">IF($A465="","",IF(AND($F465="Project",$E465&lt;&gt;"Closed",$E465&lt;&gt;"Dormant"),"Yes","No"))</f>
        <v/>
      </c>
      <c r="R465" s="66" t="str">
        <f aca="false">IF($A465="","",IF(AND($L465="In-house",OR($E465="Intake",$E465="Active",$E465="Waiting")),"Yes","No"))</f>
        <v/>
      </c>
      <c r="S465" s="66" t="str">
        <f aca="false">IF($A465="","",$C465&amp;" | "&amp;$D465)</f>
        <v/>
      </c>
      <c r="T465" s="66" t="str">
        <f aca="false">IF($A465="","",IF(AND($L465="Outside provider",OR($E465="Intake",$E465="Active",$E465="Waiting")),"Yes","No"))</f>
        <v/>
      </c>
    </row>
    <row r="466" customFormat="false" ht="15" hidden="false" customHeight="true" outlineLevel="0" collapsed="false">
      <c r="A466" s="63"/>
      <c r="B466" s="63"/>
      <c r="C466" s="63"/>
      <c r="D466" s="63"/>
      <c r="E466" s="63" t="str">
        <f aca="false">IF($A466="","",IFERROR(INDEX('Status map'!$D$6:$D$64,MATCH($C466&amp;" | "&amp;$D466,'Status map'!$I$6:$I$64,0)),"Unmapped"))</f>
        <v/>
      </c>
      <c r="F466" s="63"/>
      <c r="G466" s="69"/>
      <c r="H466" s="69"/>
      <c r="I466" s="69"/>
      <c r="J466" s="63"/>
      <c r="K466" s="63"/>
      <c r="L466" s="63"/>
      <c r="M466" s="66" t="str">
        <f aca="false">IF(OR($A466="",$H466&lt;&gt;""),"",Targets!$C$8-$I466)</f>
        <v/>
      </c>
      <c r="N466" s="66" t="str">
        <f aca="false">IF($A466="","",IF(AND($F466="Project",$E466="Active",$M466&lt;&gt;"",$M466&gt;Targets!$C$12),"Yes","No"))</f>
        <v/>
      </c>
      <c r="O466" s="66" t="str">
        <f aca="false">IF($A466="","",IF(AND($G466&gt;=Targets!$C$7,$G466&lt;=Targets!$C$8),"Yes","No"))</f>
        <v/>
      </c>
      <c r="P466" s="66" t="str">
        <f aca="false">IF($A466="","",IF(AND($H466&lt;&gt;"",$H466&gt;=Targets!$C$7,$H466&lt;=Targets!$C$8),"Yes","No"))</f>
        <v/>
      </c>
      <c r="Q466" s="66" t="str">
        <f aca="false">IF($A466="","",IF(AND($F466="Project",$E466&lt;&gt;"Closed",$E466&lt;&gt;"Dormant"),"Yes","No"))</f>
        <v/>
      </c>
      <c r="R466" s="66" t="str">
        <f aca="false">IF($A466="","",IF(AND($L466="In-house",OR($E466="Intake",$E466="Active",$E466="Waiting")),"Yes","No"))</f>
        <v/>
      </c>
      <c r="S466" s="66" t="str">
        <f aca="false">IF($A466="","",$C466&amp;" | "&amp;$D466)</f>
        <v/>
      </c>
      <c r="T466" s="66" t="str">
        <f aca="false">IF($A466="","",IF(AND($L466="Outside provider",OR($E466="Intake",$E466="Active",$E466="Waiting")),"Yes","No"))</f>
        <v/>
      </c>
    </row>
    <row r="467" customFormat="false" ht="15" hidden="false" customHeight="true" outlineLevel="0" collapsed="false">
      <c r="A467" s="67"/>
      <c r="B467" s="67"/>
      <c r="C467" s="67"/>
      <c r="D467" s="67"/>
      <c r="E467" s="67" t="str">
        <f aca="false">IF($A467="","",IFERROR(INDEX('Status map'!$D$6:$D$64,MATCH($C467&amp;" | "&amp;$D467,'Status map'!$I$6:$I$64,0)),"Unmapped"))</f>
        <v/>
      </c>
      <c r="F467" s="67"/>
      <c r="G467" s="70"/>
      <c r="H467" s="70"/>
      <c r="I467" s="70"/>
      <c r="J467" s="67"/>
      <c r="K467" s="67"/>
      <c r="L467" s="67"/>
      <c r="M467" s="66" t="str">
        <f aca="false">IF(OR($A467="",$H467&lt;&gt;""),"",Targets!$C$8-$I467)</f>
        <v/>
      </c>
      <c r="N467" s="66" t="str">
        <f aca="false">IF($A467="","",IF(AND($F467="Project",$E467="Active",$M467&lt;&gt;"",$M467&gt;Targets!$C$12),"Yes","No"))</f>
        <v/>
      </c>
      <c r="O467" s="66" t="str">
        <f aca="false">IF($A467="","",IF(AND($G467&gt;=Targets!$C$7,$G467&lt;=Targets!$C$8),"Yes","No"))</f>
        <v/>
      </c>
      <c r="P467" s="66" t="str">
        <f aca="false">IF($A467="","",IF(AND($H467&lt;&gt;"",$H467&gt;=Targets!$C$7,$H467&lt;=Targets!$C$8),"Yes","No"))</f>
        <v/>
      </c>
      <c r="Q467" s="66" t="str">
        <f aca="false">IF($A467="","",IF(AND($F467="Project",$E467&lt;&gt;"Closed",$E467&lt;&gt;"Dormant"),"Yes","No"))</f>
        <v/>
      </c>
      <c r="R467" s="66" t="str">
        <f aca="false">IF($A467="","",IF(AND($L467="In-house",OR($E467="Intake",$E467="Active",$E467="Waiting")),"Yes","No"))</f>
        <v/>
      </c>
      <c r="S467" s="66" t="str">
        <f aca="false">IF($A467="","",$C467&amp;" | "&amp;$D467)</f>
        <v/>
      </c>
      <c r="T467" s="66" t="str">
        <f aca="false">IF($A467="","",IF(AND($L467="Outside provider",OR($E467="Intake",$E467="Active",$E467="Waiting")),"Yes","No"))</f>
        <v/>
      </c>
    </row>
    <row r="468" customFormat="false" ht="15" hidden="false" customHeight="true" outlineLevel="0" collapsed="false">
      <c r="A468" s="63"/>
      <c r="B468" s="63"/>
      <c r="C468" s="63"/>
      <c r="D468" s="63"/>
      <c r="E468" s="63" t="str">
        <f aca="false">IF($A468="","",IFERROR(INDEX('Status map'!$D$6:$D$64,MATCH($C468&amp;" | "&amp;$D468,'Status map'!$I$6:$I$64,0)),"Unmapped"))</f>
        <v/>
      </c>
      <c r="F468" s="63"/>
      <c r="G468" s="69"/>
      <c r="H468" s="69"/>
      <c r="I468" s="69"/>
      <c r="J468" s="63"/>
      <c r="K468" s="63"/>
      <c r="L468" s="63"/>
      <c r="M468" s="66" t="str">
        <f aca="false">IF(OR($A468="",$H468&lt;&gt;""),"",Targets!$C$8-$I468)</f>
        <v/>
      </c>
      <c r="N468" s="66" t="str">
        <f aca="false">IF($A468="","",IF(AND($F468="Project",$E468="Active",$M468&lt;&gt;"",$M468&gt;Targets!$C$12),"Yes","No"))</f>
        <v/>
      </c>
      <c r="O468" s="66" t="str">
        <f aca="false">IF($A468="","",IF(AND($G468&gt;=Targets!$C$7,$G468&lt;=Targets!$C$8),"Yes","No"))</f>
        <v/>
      </c>
      <c r="P468" s="66" t="str">
        <f aca="false">IF($A468="","",IF(AND($H468&lt;&gt;"",$H468&gt;=Targets!$C$7,$H468&lt;=Targets!$C$8),"Yes","No"))</f>
        <v/>
      </c>
      <c r="Q468" s="66" t="str">
        <f aca="false">IF($A468="","",IF(AND($F468="Project",$E468&lt;&gt;"Closed",$E468&lt;&gt;"Dormant"),"Yes","No"))</f>
        <v/>
      </c>
      <c r="R468" s="66" t="str">
        <f aca="false">IF($A468="","",IF(AND($L468="In-house",OR($E468="Intake",$E468="Active",$E468="Waiting")),"Yes","No"))</f>
        <v/>
      </c>
      <c r="S468" s="66" t="str">
        <f aca="false">IF($A468="","",$C468&amp;" | "&amp;$D468)</f>
        <v/>
      </c>
      <c r="T468" s="66" t="str">
        <f aca="false">IF($A468="","",IF(AND($L468="Outside provider",OR($E468="Intake",$E468="Active",$E468="Waiting")),"Yes","No"))</f>
        <v/>
      </c>
    </row>
    <row r="469" customFormat="false" ht="15" hidden="false" customHeight="true" outlineLevel="0" collapsed="false">
      <c r="A469" s="67"/>
      <c r="B469" s="67"/>
      <c r="C469" s="67"/>
      <c r="D469" s="67"/>
      <c r="E469" s="67" t="str">
        <f aca="false">IF($A469="","",IFERROR(INDEX('Status map'!$D$6:$D$64,MATCH($C469&amp;" | "&amp;$D469,'Status map'!$I$6:$I$64,0)),"Unmapped"))</f>
        <v/>
      </c>
      <c r="F469" s="67"/>
      <c r="G469" s="70"/>
      <c r="H469" s="70"/>
      <c r="I469" s="70"/>
      <c r="J469" s="67"/>
      <c r="K469" s="67"/>
      <c r="L469" s="67"/>
      <c r="M469" s="66" t="str">
        <f aca="false">IF(OR($A469="",$H469&lt;&gt;""),"",Targets!$C$8-$I469)</f>
        <v/>
      </c>
      <c r="N469" s="66" t="str">
        <f aca="false">IF($A469="","",IF(AND($F469="Project",$E469="Active",$M469&lt;&gt;"",$M469&gt;Targets!$C$12),"Yes","No"))</f>
        <v/>
      </c>
      <c r="O469" s="66" t="str">
        <f aca="false">IF($A469="","",IF(AND($G469&gt;=Targets!$C$7,$G469&lt;=Targets!$C$8),"Yes","No"))</f>
        <v/>
      </c>
      <c r="P469" s="66" t="str">
        <f aca="false">IF($A469="","",IF(AND($H469&lt;&gt;"",$H469&gt;=Targets!$C$7,$H469&lt;=Targets!$C$8),"Yes","No"))</f>
        <v/>
      </c>
      <c r="Q469" s="66" t="str">
        <f aca="false">IF($A469="","",IF(AND($F469="Project",$E469&lt;&gt;"Closed",$E469&lt;&gt;"Dormant"),"Yes","No"))</f>
        <v/>
      </c>
      <c r="R469" s="66" t="str">
        <f aca="false">IF($A469="","",IF(AND($L469="In-house",OR($E469="Intake",$E469="Active",$E469="Waiting")),"Yes","No"))</f>
        <v/>
      </c>
      <c r="S469" s="66" t="str">
        <f aca="false">IF($A469="","",$C469&amp;" | "&amp;$D469)</f>
        <v/>
      </c>
      <c r="T469" s="66" t="str">
        <f aca="false">IF($A469="","",IF(AND($L469="Outside provider",OR($E469="Intake",$E469="Active",$E469="Waiting")),"Yes","No"))</f>
        <v/>
      </c>
    </row>
    <row r="470" customFormat="false" ht="15" hidden="false" customHeight="true" outlineLevel="0" collapsed="false">
      <c r="A470" s="63"/>
      <c r="B470" s="63"/>
      <c r="C470" s="63"/>
      <c r="D470" s="63"/>
      <c r="E470" s="63" t="str">
        <f aca="false">IF($A470="","",IFERROR(INDEX('Status map'!$D$6:$D$64,MATCH($C470&amp;" | "&amp;$D470,'Status map'!$I$6:$I$64,0)),"Unmapped"))</f>
        <v/>
      </c>
      <c r="F470" s="63"/>
      <c r="G470" s="69"/>
      <c r="H470" s="69"/>
      <c r="I470" s="69"/>
      <c r="J470" s="63"/>
      <c r="K470" s="63"/>
      <c r="L470" s="63"/>
      <c r="M470" s="66" t="str">
        <f aca="false">IF(OR($A470="",$H470&lt;&gt;""),"",Targets!$C$8-$I470)</f>
        <v/>
      </c>
      <c r="N470" s="66" t="str">
        <f aca="false">IF($A470="","",IF(AND($F470="Project",$E470="Active",$M470&lt;&gt;"",$M470&gt;Targets!$C$12),"Yes","No"))</f>
        <v/>
      </c>
      <c r="O470" s="66" t="str">
        <f aca="false">IF($A470="","",IF(AND($G470&gt;=Targets!$C$7,$G470&lt;=Targets!$C$8),"Yes","No"))</f>
        <v/>
      </c>
      <c r="P470" s="66" t="str">
        <f aca="false">IF($A470="","",IF(AND($H470&lt;&gt;"",$H470&gt;=Targets!$C$7,$H470&lt;=Targets!$C$8),"Yes","No"))</f>
        <v/>
      </c>
      <c r="Q470" s="66" t="str">
        <f aca="false">IF($A470="","",IF(AND($F470="Project",$E470&lt;&gt;"Closed",$E470&lt;&gt;"Dormant"),"Yes","No"))</f>
        <v/>
      </c>
      <c r="R470" s="66" t="str">
        <f aca="false">IF($A470="","",IF(AND($L470="In-house",OR($E470="Intake",$E470="Active",$E470="Waiting")),"Yes","No"))</f>
        <v/>
      </c>
      <c r="S470" s="66" t="str">
        <f aca="false">IF($A470="","",$C470&amp;" | "&amp;$D470)</f>
        <v/>
      </c>
      <c r="T470" s="66" t="str">
        <f aca="false">IF($A470="","",IF(AND($L470="Outside provider",OR($E470="Intake",$E470="Active",$E470="Waiting")),"Yes","No"))</f>
        <v/>
      </c>
    </row>
    <row r="471" customFormat="false" ht="15" hidden="false" customHeight="true" outlineLevel="0" collapsed="false">
      <c r="A471" s="67"/>
      <c r="B471" s="67"/>
      <c r="C471" s="67"/>
      <c r="D471" s="67"/>
      <c r="E471" s="67" t="str">
        <f aca="false">IF($A471="","",IFERROR(INDEX('Status map'!$D$6:$D$64,MATCH($C471&amp;" | "&amp;$D471,'Status map'!$I$6:$I$64,0)),"Unmapped"))</f>
        <v/>
      </c>
      <c r="F471" s="67"/>
      <c r="G471" s="70"/>
      <c r="H471" s="70"/>
      <c r="I471" s="70"/>
      <c r="J471" s="67"/>
      <c r="K471" s="67"/>
      <c r="L471" s="67"/>
      <c r="M471" s="66" t="str">
        <f aca="false">IF(OR($A471="",$H471&lt;&gt;""),"",Targets!$C$8-$I471)</f>
        <v/>
      </c>
      <c r="N471" s="66" t="str">
        <f aca="false">IF($A471="","",IF(AND($F471="Project",$E471="Active",$M471&lt;&gt;"",$M471&gt;Targets!$C$12),"Yes","No"))</f>
        <v/>
      </c>
      <c r="O471" s="66" t="str">
        <f aca="false">IF($A471="","",IF(AND($G471&gt;=Targets!$C$7,$G471&lt;=Targets!$C$8),"Yes","No"))</f>
        <v/>
      </c>
      <c r="P471" s="66" t="str">
        <f aca="false">IF($A471="","",IF(AND($H471&lt;&gt;"",$H471&gt;=Targets!$C$7,$H471&lt;=Targets!$C$8),"Yes","No"))</f>
        <v/>
      </c>
      <c r="Q471" s="66" t="str">
        <f aca="false">IF($A471="","",IF(AND($F471="Project",$E471&lt;&gt;"Closed",$E471&lt;&gt;"Dormant"),"Yes","No"))</f>
        <v/>
      </c>
      <c r="R471" s="66" t="str">
        <f aca="false">IF($A471="","",IF(AND($L471="In-house",OR($E471="Intake",$E471="Active",$E471="Waiting")),"Yes","No"))</f>
        <v/>
      </c>
      <c r="S471" s="66" t="str">
        <f aca="false">IF($A471="","",$C471&amp;" | "&amp;$D471)</f>
        <v/>
      </c>
      <c r="T471" s="66" t="str">
        <f aca="false">IF($A471="","",IF(AND($L471="Outside provider",OR($E471="Intake",$E471="Active",$E471="Waiting")),"Yes","No"))</f>
        <v/>
      </c>
    </row>
    <row r="472" customFormat="false" ht="15" hidden="false" customHeight="true" outlineLevel="0" collapsed="false">
      <c r="A472" s="63"/>
      <c r="B472" s="63"/>
      <c r="C472" s="63"/>
      <c r="D472" s="63"/>
      <c r="E472" s="63" t="str">
        <f aca="false">IF($A472="","",IFERROR(INDEX('Status map'!$D$6:$D$64,MATCH($C472&amp;" | "&amp;$D472,'Status map'!$I$6:$I$64,0)),"Unmapped"))</f>
        <v/>
      </c>
      <c r="F472" s="63"/>
      <c r="G472" s="69"/>
      <c r="H472" s="69"/>
      <c r="I472" s="69"/>
      <c r="J472" s="63"/>
      <c r="K472" s="63"/>
      <c r="L472" s="63"/>
      <c r="M472" s="66" t="str">
        <f aca="false">IF(OR($A472="",$H472&lt;&gt;""),"",Targets!$C$8-$I472)</f>
        <v/>
      </c>
      <c r="N472" s="66" t="str">
        <f aca="false">IF($A472="","",IF(AND($F472="Project",$E472="Active",$M472&lt;&gt;"",$M472&gt;Targets!$C$12),"Yes","No"))</f>
        <v/>
      </c>
      <c r="O472" s="66" t="str">
        <f aca="false">IF($A472="","",IF(AND($G472&gt;=Targets!$C$7,$G472&lt;=Targets!$C$8),"Yes","No"))</f>
        <v/>
      </c>
      <c r="P472" s="66" t="str">
        <f aca="false">IF($A472="","",IF(AND($H472&lt;&gt;"",$H472&gt;=Targets!$C$7,$H472&lt;=Targets!$C$8),"Yes","No"))</f>
        <v/>
      </c>
      <c r="Q472" s="66" t="str">
        <f aca="false">IF($A472="","",IF(AND($F472="Project",$E472&lt;&gt;"Closed",$E472&lt;&gt;"Dormant"),"Yes","No"))</f>
        <v/>
      </c>
      <c r="R472" s="66" t="str">
        <f aca="false">IF($A472="","",IF(AND($L472="In-house",OR($E472="Intake",$E472="Active",$E472="Waiting")),"Yes","No"))</f>
        <v/>
      </c>
      <c r="S472" s="66" t="str">
        <f aca="false">IF($A472="","",$C472&amp;" | "&amp;$D472)</f>
        <v/>
      </c>
      <c r="T472" s="66" t="str">
        <f aca="false">IF($A472="","",IF(AND($L472="Outside provider",OR($E472="Intake",$E472="Active",$E472="Waiting")),"Yes","No"))</f>
        <v/>
      </c>
    </row>
    <row r="473" customFormat="false" ht="15" hidden="false" customHeight="true" outlineLevel="0" collapsed="false">
      <c r="A473" s="67"/>
      <c r="B473" s="67"/>
      <c r="C473" s="67"/>
      <c r="D473" s="67"/>
      <c r="E473" s="67" t="str">
        <f aca="false">IF($A473="","",IFERROR(INDEX('Status map'!$D$6:$D$64,MATCH($C473&amp;" | "&amp;$D473,'Status map'!$I$6:$I$64,0)),"Unmapped"))</f>
        <v/>
      </c>
      <c r="F473" s="67"/>
      <c r="G473" s="70"/>
      <c r="H473" s="70"/>
      <c r="I473" s="70"/>
      <c r="J473" s="67"/>
      <c r="K473" s="67"/>
      <c r="L473" s="67"/>
      <c r="M473" s="66" t="str">
        <f aca="false">IF(OR($A473="",$H473&lt;&gt;""),"",Targets!$C$8-$I473)</f>
        <v/>
      </c>
      <c r="N473" s="66" t="str">
        <f aca="false">IF($A473="","",IF(AND($F473="Project",$E473="Active",$M473&lt;&gt;"",$M473&gt;Targets!$C$12),"Yes","No"))</f>
        <v/>
      </c>
      <c r="O473" s="66" t="str">
        <f aca="false">IF($A473="","",IF(AND($G473&gt;=Targets!$C$7,$G473&lt;=Targets!$C$8),"Yes","No"))</f>
        <v/>
      </c>
      <c r="P473" s="66" t="str">
        <f aca="false">IF($A473="","",IF(AND($H473&lt;&gt;"",$H473&gt;=Targets!$C$7,$H473&lt;=Targets!$C$8),"Yes","No"))</f>
        <v/>
      </c>
      <c r="Q473" s="66" t="str">
        <f aca="false">IF($A473="","",IF(AND($F473="Project",$E473&lt;&gt;"Closed",$E473&lt;&gt;"Dormant"),"Yes","No"))</f>
        <v/>
      </c>
      <c r="R473" s="66" t="str">
        <f aca="false">IF($A473="","",IF(AND($L473="In-house",OR($E473="Intake",$E473="Active",$E473="Waiting")),"Yes","No"))</f>
        <v/>
      </c>
      <c r="S473" s="66" t="str">
        <f aca="false">IF($A473="","",$C473&amp;" | "&amp;$D473)</f>
        <v/>
      </c>
      <c r="T473" s="66" t="str">
        <f aca="false">IF($A473="","",IF(AND($L473="Outside provider",OR($E473="Intake",$E473="Active",$E473="Waiting")),"Yes","No"))</f>
        <v/>
      </c>
    </row>
    <row r="474" customFormat="false" ht="15" hidden="false" customHeight="true" outlineLevel="0" collapsed="false">
      <c r="A474" s="63"/>
      <c r="B474" s="63"/>
      <c r="C474" s="63"/>
      <c r="D474" s="63"/>
      <c r="E474" s="63" t="str">
        <f aca="false">IF($A474="","",IFERROR(INDEX('Status map'!$D$6:$D$64,MATCH($C474&amp;" | "&amp;$D474,'Status map'!$I$6:$I$64,0)),"Unmapped"))</f>
        <v/>
      </c>
      <c r="F474" s="63"/>
      <c r="G474" s="69"/>
      <c r="H474" s="69"/>
      <c r="I474" s="69"/>
      <c r="J474" s="63"/>
      <c r="K474" s="63"/>
      <c r="L474" s="63"/>
      <c r="M474" s="66" t="str">
        <f aca="false">IF(OR($A474="",$H474&lt;&gt;""),"",Targets!$C$8-$I474)</f>
        <v/>
      </c>
      <c r="N474" s="66" t="str">
        <f aca="false">IF($A474="","",IF(AND($F474="Project",$E474="Active",$M474&lt;&gt;"",$M474&gt;Targets!$C$12),"Yes","No"))</f>
        <v/>
      </c>
      <c r="O474" s="66" t="str">
        <f aca="false">IF($A474="","",IF(AND($G474&gt;=Targets!$C$7,$G474&lt;=Targets!$C$8),"Yes","No"))</f>
        <v/>
      </c>
      <c r="P474" s="66" t="str">
        <f aca="false">IF($A474="","",IF(AND($H474&lt;&gt;"",$H474&gt;=Targets!$C$7,$H474&lt;=Targets!$C$8),"Yes","No"))</f>
        <v/>
      </c>
      <c r="Q474" s="66" t="str">
        <f aca="false">IF($A474="","",IF(AND($F474="Project",$E474&lt;&gt;"Closed",$E474&lt;&gt;"Dormant"),"Yes","No"))</f>
        <v/>
      </c>
      <c r="R474" s="66" t="str">
        <f aca="false">IF($A474="","",IF(AND($L474="In-house",OR($E474="Intake",$E474="Active",$E474="Waiting")),"Yes","No"))</f>
        <v/>
      </c>
      <c r="S474" s="66" t="str">
        <f aca="false">IF($A474="","",$C474&amp;" | "&amp;$D474)</f>
        <v/>
      </c>
      <c r="T474" s="66" t="str">
        <f aca="false">IF($A474="","",IF(AND($L474="Outside provider",OR($E474="Intake",$E474="Active",$E474="Waiting")),"Yes","No"))</f>
        <v/>
      </c>
    </row>
    <row r="475" customFormat="false" ht="15" hidden="false" customHeight="true" outlineLevel="0" collapsed="false">
      <c r="A475" s="67"/>
      <c r="B475" s="67"/>
      <c r="C475" s="67"/>
      <c r="D475" s="67"/>
      <c r="E475" s="67" t="str">
        <f aca="false">IF($A475="","",IFERROR(INDEX('Status map'!$D$6:$D$64,MATCH($C475&amp;" | "&amp;$D475,'Status map'!$I$6:$I$64,0)),"Unmapped"))</f>
        <v/>
      </c>
      <c r="F475" s="67"/>
      <c r="G475" s="70"/>
      <c r="H475" s="70"/>
      <c r="I475" s="70"/>
      <c r="J475" s="67"/>
      <c r="K475" s="67"/>
      <c r="L475" s="67"/>
      <c r="M475" s="66" t="str">
        <f aca="false">IF(OR($A475="",$H475&lt;&gt;""),"",Targets!$C$8-$I475)</f>
        <v/>
      </c>
      <c r="N475" s="66" t="str">
        <f aca="false">IF($A475="","",IF(AND($F475="Project",$E475="Active",$M475&lt;&gt;"",$M475&gt;Targets!$C$12),"Yes","No"))</f>
        <v/>
      </c>
      <c r="O475" s="66" t="str">
        <f aca="false">IF($A475="","",IF(AND($G475&gt;=Targets!$C$7,$G475&lt;=Targets!$C$8),"Yes","No"))</f>
        <v/>
      </c>
      <c r="P475" s="66" t="str">
        <f aca="false">IF($A475="","",IF(AND($H475&lt;&gt;"",$H475&gt;=Targets!$C$7,$H475&lt;=Targets!$C$8),"Yes","No"))</f>
        <v/>
      </c>
      <c r="Q475" s="66" t="str">
        <f aca="false">IF($A475="","",IF(AND($F475="Project",$E475&lt;&gt;"Closed",$E475&lt;&gt;"Dormant"),"Yes","No"))</f>
        <v/>
      </c>
      <c r="R475" s="66" t="str">
        <f aca="false">IF($A475="","",IF(AND($L475="In-house",OR($E475="Intake",$E475="Active",$E475="Waiting")),"Yes","No"))</f>
        <v/>
      </c>
      <c r="S475" s="66" t="str">
        <f aca="false">IF($A475="","",$C475&amp;" | "&amp;$D475)</f>
        <v/>
      </c>
      <c r="T475" s="66" t="str">
        <f aca="false">IF($A475="","",IF(AND($L475="Outside provider",OR($E475="Intake",$E475="Active",$E475="Waiting")),"Yes","No"))</f>
        <v/>
      </c>
    </row>
    <row r="476" customFormat="false" ht="15" hidden="false" customHeight="true" outlineLevel="0" collapsed="false">
      <c r="A476" s="63"/>
      <c r="B476" s="63"/>
      <c r="C476" s="63"/>
      <c r="D476" s="63"/>
      <c r="E476" s="63" t="str">
        <f aca="false">IF($A476="","",IFERROR(INDEX('Status map'!$D$6:$D$64,MATCH($C476&amp;" | "&amp;$D476,'Status map'!$I$6:$I$64,0)),"Unmapped"))</f>
        <v/>
      </c>
      <c r="F476" s="63"/>
      <c r="G476" s="69"/>
      <c r="H476" s="69"/>
      <c r="I476" s="69"/>
      <c r="J476" s="63"/>
      <c r="K476" s="63"/>
      <c r="L476" s="63"/>
      <c r="M476" s="66" t="str">
        <f aca="false">IF(OR($A476="",$H476&lt;&gt;""),"",Targets!$C$8-$I476)</f>
        <v/>
      </c>
      <c r="N476" s="66" t="str">
        <f aca="false">IF($A476="","",IF(AND($F476="Project",$E476="Active",$M476&lt;&gt;"",$M476&gt;Targets!$C$12),"Yes","No"))</f>
        <v/>
      </c>
      <c r="O476" s="66" t="str">
        <f aca="false">IF($A476="","",IF(AND($G476&gt;=Targets!$C$7,$G476&lt;=Targets!$C$8),"Yes","No"))</f>
        <v/>
      </c>
      <c r="P476" s="66" t="str">
        <f aca="false">IF($A476="","",IF(AND($H476&lt;&gt;"",$H476&gt;=Targets!$C$7,$H476&lt;=Targets!$C$8),"Yes","No"))</f>
        <v/>
      </c>
      <c r="Q476" s="66" t="str">
        <f aca="false">IF($A476="","",IF(AND($F476="Project",$E476&lt;&gt;"Closed",$E476&lt;&gt;"Dormant"),"Yes","No"))</f>
        <v/>
      </c>
      <c r="R476" s="66" t="str">
        <f aca="false">IF($A476="","",IF(AND($L476="In-house",OR($E476="Intake",$E476="Active",$E476="Waiting")),"Yes","No"))</f>
        <v/>
      </c>
      <c r="S476" s="66" t="str">
        <f aca="false">IF($A476="","",$C476&amp;" | "&amp;$D476)</f>
        <v/>
      </c>
      <c r="T476" s="66" t="str">
        <f aca="false">IF($A476="","",IF(AND($L476="Outside provider",OR($E476="Intake",$E476="Active",$E476="Waiting")),"Yes","No"))</f>
        <v/>
      </c>
    </row>
    <row r="477" customFormat="false" ht="15" hidden="false" customHeight="true" outlineLevel="0" collapsed="false">
      <c r="A477" s="67"/>
      <c r="B477" s="67"/>
      <c r="C477" s="67"/>
      <c r="D477" s="67"/>
      <c r="E477" s="67" t="str">
        <f aca="false">IF($A477="","",IFERROR(INDEX('Status map'!$D$6:$D$64,MATCH($C477&amp;" | "&amp;$D477,'Status map'!$I$6:$I$64,0)),"Unmapped"))</f>
        <v/>
      </c>
      <c r="F477" s="67"/>
      <c r="G477" s="70"/>
      <c r="H477" s="70"/>
      <c r="I477" s="70"/>
      <c r="J477" s="67"/>
      <c r="K477" s="67"/>
      <c r="L477" s="67"/>
      <c r="M477" s="66" t="str">
        <f aca="false">IF(OR($A477="",$H477&lt;&gt;""),"",Targets!$C$8-$I477)</f>
        <v/>
      </c>
      <c r="N477" s="66" t="str">
        <f aca="false">IF($A477="","",IF(AND($F477="Project",$E477="Active",$M477&lt;&gt;"",$M477&gt;Targets!$C$12),"Yes","No"))</f>
        <v/>
      </c>
      <c r="O477" s="66" t="str">
        <f aca="false">IF($A477="","",IF(AND($G477&gt;=Targets!$C$7,$G477&lt;=Targets!$C$8),"Yes","No"))</f>
        <v/>
      </c>
      <c r="P477" s="66" t="str">
        <f aca="false">IF($A477="","",IF(AND($H477&lt;&gt;"",$H477&gt;=Targets!$C$7,$H477&lt;=Targets!$C$8),"Yes","No"))</f>
        <v/>
      </c>
      <c r="Q477" s="66" t="str">
        <f aca="false">IF($A477="","",IF(AND($F477="Project",$E477&lt;&gt;"Closed",$E477&lt;&gt;"Dormant"),"Yes","No"))</f>
        <v/>
      </c>
      <c r="R477" s="66" t="str">
        <f aca="false">IF($A477="","",IF(AND($L477="In-house",OR($E477="Intake",$E477="Active",$E477="Waiting")),"Yes","No"))</f>
        <v/>
      </c>
      <c r="S477" s="66" t="str">
        <f aca="false">IF($A477="","",$C477&amp;" | "&amp;$D477)</f>
        <v/>
      </c>
      <c r="T477" s="66" t="str">
        <f aca="false">IF($A477="","",IF(AND($L477="Outside provider",OR($E477="Intake",$E477="Active",$E477="Waiting")),"Yes","No"))</f>
        <v/>
      </c>
    </row>
    <row r="478" customFormat="false" ht="15" hidden="false" customHeight="true" outlineLevel="0" collapsed="false">
      <c r="A478" s="63"/>
      <c r="B478" s="63"/>
      <c r="C478" s="63"/>
      <c r="D478" s="63"/>
      <c r="E478" s="63" t="str">
        <f aca="false">IF($A478="","",IFERROR(INDEX('Status map'!$D$6:$D$64,MATCH($C478&amp;" | "&amp;$D478,'Status map'!$I$6:$I$64,0)),"Unmapped"))</f>
        <v/>
      </c>
      <c r="F478" s="63"/>
      <c r="G478" s="69"/>
      <c r="H478" s="69"/>
      <c r="I478" s="69"/>
      <c r="J478" s="63"/>
      <c r="K478" s="63"/>
      <c r="L478" s="63"/>
      <c r="M478" s="66" t="str">
        <f aca="false">IF(OR($A478="",$H478&lt;&gt;""),"",Targets!$C$8-$I478)</f>
        <v/>
      </c>
      <c r="N478" s="66" t="str">
        <f aca="false">IF($A478="","",IF(AND($F478="Project",$E478="Active",$M478&lt;&gt;"",$M478&gt;Targets!$C$12),"Yes","No"))</f>
        <v/>
      </c>
      <c r="O478" s="66" t="str">
        <f aca="false">IF($A478="","",IF(AND($G478&gt;=Targets!$C$7,$G478&lt;=Targets!$C$8),"Yes","No"))</f>
        <v/>
      </c>
      <c r="P478" s="66" t="str">
        <f aca="false">IF($A478="","",IF(AND($H478&lt;&gt;"",$H478&gt;=Targets!$C$7,$H478&lt;=Targets!$C$8),"Yes","No"))</f>
        <v/>
      </c>
      <c r="Q478" s="66" t="str">
        <f aca="false">IF($A478="","",IF(AND($F478="Project",$E478&lt;&gt;"Closed",$E478&lt;&gt;"Dormant"),"Yes","No"))</f>
        <v/>
      </c>
      <c r="R478" s="66" t="str">
        <f aca="false">IF($A478="","",IF(AND($L478="In-house",OR($E478="Intake",$E478="Active",$E478="Waiting")),"Yes","No"))</f>
        <v/>
      </c>
      <c r="S478" s="66" t="str">
        <f aca="false">IF($A478="","",$C478&amp;" | "&amp;$D478)</f>
        <v/>
      </c>
      <c r="T478" s="66" t="str">
        <f aca="false">IF($A478="","",IF(AND($L478="Outside provider",OR($E478="Intake",$E478="Active",$E478="Waiting")),"Yes","No"))</f>
        <v/>
      </c>
    </row>
    <row r="479" customFormat="false" ht="15" hidden="false" customHeight="true" outlineLevel="0" collapsed="false">
      <c r="A479" s="67"/>
      <c r="B479" s="67"/>
      <c r="C479" s="67"/>
      <c r="D479" s="67"/>
      <c r="E479" s="67" t="str">
        <f aca="false">IF($A479="","",IFERROR(INDEX('Status map'!$D$6:$D$64,MATCH($C479&amp;" | "&amp;$D479,'Status map'!$I$6:$I$64,0)),"Unmapped"))</f>
        <v/>
      </c>
      <c r="F479" s="67"/>
      <c r="G479" s="70"/>
      <c r="H479" s="70"/>
      <c r="I479" s="70"/>
      <c r="J479" s="67"/>
      <c r="K479" s="67"/>
      <c r="L479" s="67"/>
      <c r="M479" s="66" t="str">
        <f aca="false">IF(OR($A479="",$H479&lt;&gt;""),"",Targets!$C$8-$I479)</f>
        <v/>
      </c>
      <c r="N479" s="66" t="str">
        <f aca="false">IF($A479="","",IF(AND($F479="Project",$E479="Active",$M479&lt;&gt;"",$M479&gt;Targets!$C$12),"Yes","No"))</f>
        <v/>
      </c>
      <c r="O479" s="66" t="str">
        <f aca="false">IF($A479="","",IF(AND($G479&gt;=Targets!$C$7,$G479&lt;=Targets!$C$8),"Yes","No"))</f>
        <v/>
      </c>
      <c r="P479" s="66" t="str">
        <f aca="false">IF($A479="","",IF(AND($H479&lt;&gt;"",$H479&gt;=Targets!$C$7,$H479&lt;=Targets!$C$8),"Yes","No"))</f>
        <v/>
      </c>
      <c r="Q479" s="66" t="str">
        <f aca="false">IF($A479="","",IF(AND($F479="Project",$E479&lt;&gt;"Closed",$E479&lt;&gt;"Dormant"),"Yes","No"))</f>
        <v/>
      </c>
      <c r="R479" s="66" t="str">
        <f aca="false">IF($A479="","",IF(AND($L479="In-house",OR($E479="Intake",$E479="Active",$E479="Waiting")),"Yes","No"))</f>
        <v/>
      </c>
      <c r="S479" s="66" t="str">
        <f aca="false">IF($A479="","",$C479&amp;" | "&amp;$D479)</f>
        <v/>
      </c>
      <c r="T479" s="66" t="str">
        <f aca="false">IF($A479="","",IF(AND($L479="Outside provider",OR($E479="Intake",$E479="Active",$E479="Waiting")),"Yes","No"))</f>
        <v/>
      </c>
    </row>
    <row r="480" customFormat="false" ht="15" hidden="false" customHeight="true" outlineLevel="0" collapsed="false">
      <c r="A480" s="63"/>
      <c r="B480" s="63"/>
      <c r="C480" s="63"/>
      <c r="D480" s="63"/>
      <c r="E480" s="63" t="str">
        <f aca="false">IF($A480="","",IFERROR(INDEX('Status map'!$D$6:$D$64,MATCH($C480&amp;" | "&amp;$D480,'Status map'!$I$6:$I$64,0)),"Unmapped"))</f>
        <v/>
      </c>
      <c r="F480" s="63"/>
      <c r="G480" s="69"/>
      <c r="H480" s="69"/>
      <c r="I480" s="69"/>
      <c r="J480" s="63"/>
      <c r="K480" s="63"/>
      <c r="L480" s="63"/>
      <c r="M480" s="66" t="str">
        <f aca="false">IF(OR($A480="",$H480&lt;&gt;""),"",Targets!$C$8-$I480)</f>
        <v/>
      </c>
      <c r="N480" s="66" t="str">
        <f aca="false">IF($A480="","",IF(AND($F480="Project",$E480="Active",$M480&lt;&gt;"",$M480&gt;Targets!$C$12),"Yes","No"))</f>
        <v/>
      </c>
      <c r="O480" s="66" t="str">
        <f aca="false">IF($A480="","",IF(AND($G480&gt;=Targets!$C$7,$G480&lt;=Targets!$C$8),"Yes","No"))</f>
        <v/>
      </c>
      <c r="P480" s="66" t="str">
        <f aca="false">IF($A480="","",IF(AND($H480&lt;&gt;"",$H480&gt;=Targets!$C$7,$H480&lt;=Targets!$C$8),"Yes","No"))</f>
        <v/>
      </c>
      <c r="Q480" s="66" t="str">
        <f aca="false">IF($A480="","",IF(AND($F480="Project",$E480&lt;&gt;"Closed",$E480&lt;&gt;"Dormant"),"Yes","No"))</f>
        <v/>
      </c>
      <c r="R480" s="66" t="str">
        <f aca="false">IF($A480="","",IF(AND($L480="In-house",OR($E480="Intake",$E480="Active",$E480="Waiting")),"Yes","No"))</f>
        <v/>
      </c>
      <c r="S480" s="66" t="str">
        <f aca="false">IF($A480="","",$C480&amp;" | "&amp;$D480)</f>
        <v/>
      </c>
      <c r="T480" s="66" t="str">
        <f aca="false">IF($A480="","",IF(AND($L480="Outside provider",OR($E480="Intake",$E480="Active",$E480="Waiting")),"Yes","No"))</f>
        <v/>
      </c>
    </row>
    <row r="481" customFormat="false" ht="15" hidden="false" customHeight="true" outlineLevel="0" collapsed="false">
      <c r="A481" s="67"/>
      <c r="B481" s="67"/>
      <c r="C481" s="67"/>
      <c r="D481" s="67"/>
      <c r="E481" s="67" t="str">
        <f aca="false">IF($A481="","",IFERROR(INDEX('Status map'!$D$6:$D$64,MATCH($C481&amp;" | "&amp;$D481,'Status map'!$I$6:$I$64,0)),"Unmapped"))</f>
        <v/>
      </c>
      <c r="F481" s="67"/>
      <c r="G481" s="70"/>
      <c r="H481" s="70"/>
      <c r="I481" s="70"/>
      <c r="J481" s="67"/>
      <c r="K481" s="67"/>
      <c r="L481" s="67"/>
      <c r="M481" s="66" t="str">
        <f aca="false">IF(OR($A481="",$H481&lt;&gt;""),"",Targets!$C$8-$I481)</f>
        <v/>
      </c>
      <c r="N481" s="66" t="str">
        <f aca="false">IF($A481="","",IF(AND($F481="Project",$E481="Active",$M481&lt;&gt;"",$M481&gt;Targets!$C$12),"Yes","No"))</f>
        <v/>
      </c>
      <c r="O481" s="66" t="str">
        <f aca="false">IF($A481="","",IF(AND($G481&gt;=Targets!$C$7,$G481&lt;=Targets!$C$8),"Yes","No"))</f>
        <v/>
      </c>
      <c r="P481" s="66" t="str">
        <f aca="false">IF($A481="","",IF(AND($H481&lt;&gt;"",$H481&gt;=Targets!$C$7,$H481&lt;=Targets!$C$8),"Yes","No"))</f>
        <v/>
      </c>
      <c r="Q481" s="66" t="str">
        <f aca="false">IF($A481="","",IF(AND($F481="Project",$E481&lt;&gt;"Closed",$E481&lt;&gt;"Dormant"),"Yes","No"))</f>
        <v/>
      </c>
      <c r="R481" s="66" t="str">
        <f aca="false">IF($A481="","",IF(AND($L481="In-house",OR($E481="Intake",$E481="Active",$E481="Waiting")),"Yes","No"))</f>
        <v/>
      </c>
      <c r="S481" s="66" t="str">
        <f aca="false">IF($A481="","",$C481&amp;" | "&amp;$D481)</f>
        <v/>
      </c>
      <c r="T481" s="66" t="str">
        <f aca="false">IF($A481="","",IF(AND($L481="Outside provider",OR($E481="Intake",$E481="Active",$E481="Waiting")),"Yes","No"))</f>
        <v/>
      </c>
    </row>
    <row r="482" customFormat="false" ht="15" hidden="false" customHeight="true" outlineLevel="0" collapsed="false">
      <c r="A482" s="63"/>
      <c r="B482" s="63"/>
      <c r="C482" s="63"/>
      <c r="D482" s="63"/>
      <c r="E482" s="63" t="str">
        <f aca="false">IF($A482="","",IFERROR(INDEX('Status map'!$D$6:$D$64,MATCH($C482&amp;" | "&amp;$D482,'Status map'!$I$6:$I$64,0)),"Unmapped"))</f>
        <v/>
      </c>
      <c r="F482" s="63"/>
      <c r="G482" s="69"/>
      <c r="H482" s="69"/>
      <c r="I482" s="69"/>
      <c r="J482" s="63"/>
      <c r="K482" s="63"/>
      <c r="L482" s="63"/>
      <c r="M482" s="66" t="str">
        <f aca="false">IF(OR($A482="",$H482&lt;&gt;""),"",Targets!$C$8-$I482)</f>
        <v/>
      </c>
      <c r="N482" s="66" t="str">
        <f aca="false">IF($A482="","",IF(AND($F482="Project",$E482="Active",$M482&lt;&gt;"",$M482&gt;Targets!$C$12),"Yes","No"))</f>
        <v/>
      </c>
      <c r="O482" s="66" t="str">
        <f aca="false">IF($A482="","",IF(AND($G482&gt;=Targets!$C$7,$G482&lt;=Targets!$C$8),"Yes","No"))</f>
        <v/>
      </c>
      <c r="P482" s="66" t="str">
        <f aca="false">IF($A482="","",IF(AND($H482&lt;&gt;"",$H482&gt;=Targets!$C$7,$H482&lt;=Targets!$C$8),"Yes","No"))</f>
        <v/>
      </c>
      <c r="Q482" s="66" t="str">
        <f aca="false">IF($A482="","",IF(AND($F482="Project",$E482&lt;&gt;"Closed",$E482&lt;&gt;"Dormant"),"Yes","No"))</f>
        <v/>
      </c>
      <c r="R482" s="66" t="str">
        <f aca="false">IF($A482="","",IF(AND($L482="In-house",OR($E482="Intake",$E482="Active",$E482="Waiting")),"Yes","No"))</f>
        <v/>
      </c>
      <c r="S482" s="66" t="str">
        <f aca="false">IF($A482="","",$C482&amp;" | "&amp;$D482)</f>
        <v/>
      </c>
      <c r="T482" s="66" t="str">
        <f aca="false">IF($A482="","",IF(AND($L482="Outside provider",OR($E482="Intake",$E482="Active",$E482="Waiting")),"Yes","No"))</f>
        <v/>
      </c>
    </row>
    <row r="483" customFormat="false" ht="15" hidden="false" customHeight="true" outlineLevel="0" collapsed="false">
      <c r="A483" s="67"/>
      <c r="B483" s="67"/>
      <c r="C483" s="67"/>
      <c r="D483" s="67"/>
      <c r="E483" s="67" t="str">
        <f aca="false">IF($A483="","",IFERROR(INDEX('Status map'!$D$6:$D$64,MATCH($C483&amp;" | "&amp;$D483,'Status map'!$I$6:$I$64,0)),"Unmapped"))</f>
        <v/>
      </c>
      <c r="F483" s="67"/>
      <c r="G483" s="70"/>
      <c r="H483" s="70"/>
      <c r="I483" s="70"/>
      <c r="J483" s="67"/>
      <c r="K483" s="67"/>
      <c r="L483" s="67"/>
      <c r="M483" s="66" t="str">
        <f aca="false">IF(OR($A483="",$H483&lt;&gt;""),"",Targets!$C$8-$I483)</f>
        <v/>
      </c>
      <c r="N483" s="66" t="str">
        <f aca="false">IF($A483="","",IF(AND($F483="Project",$E483="Active",$M483&lt;&gt;"",$M483&gt;Targets!$C$12),"Yes","No"))</f>
        <v/>
      </c>
      <c r="O483" s="66" t="str">
        <f aca="false">IF($A483="","",IF(AND($G483&gt;=Targets!$C$7,$G483&lt;=Targets!$C$8),"Yes","No"))</f>
        <v/>
      </c>
      <c r="P483" s="66" t="str">
        <f aca="false">IF($A483="","",IF(AND($H483&lt;&gt;"",$H483&gt;=Targets!$C$7,$H483&lt;=Targets!$C$8),"Yes","No"))</f>
        <v/>
      </c>
      <c r="Q483" s="66" t="str">
        <f aca="false">IF($A483="","",IF(AND($F483="Project",$E483&lt;&gt;"Closed",$E483&lt;&gt;"Dormant"),"Yes","No"))</f>
        <v/>
      </c>
      <c r="R483" s="66" t="str">
        <f aca="false">IF($A483="","",IF(AND($L483="In-house",OR($E483="Intake",$E483="Active",$E483="Waiting")),"Yes","No"))</f>
        <v/>
      </c>
      <c r="S483" s="66" t="str">
        <f aca="false">IF($A483="","",$C483&amp;" | "&amp;$D483)</f>
        <v/>
      </c>
      <c r="T483" s="66" t="str">
        <f aca="false">IF($A483="","",IF(AND($L483="Outside provider",OR($E483="Intake",$E483="Active",$E483="Waiting")),"Yes","No"))</f>
        <v/>
      </c>
    </row>
    <row r="484" customFormat="false" ht="15" hidden="false" customHeight="true" outlineLevel="0" collapsed="false">
      <c r="A484" s="63"/>
      <c r="B484" s="63"/>
      <c r="C484" s="63"/>
      <c r="D484" s="63"/>
      <c r="E484" s="63" t="str">
        <f aca="false">IF($A484="","",IFERROR(INDEX('Status map'!$D$6:$D$64,MATCH($C484&amp;" | "&amp;$D484,'Status map'!$I$6:$I$64,0)),"Unmapped"))</f>
        <v/>
      </c>
      <c r="F484" s="63"/>
      <c r="G484" s="69"/>
      <c r="H484" s="69"/>
      <c r="I484" s="69"/>
      <c r="J484" s="63"/>
      <c r="K484" s="63"/>
      <c r="L484" s="63"/>
      <c r="M484" s="66" t="str">
        <f aca="false">IF(OR($A484="",$H484&lt;&gt;""),"",Targets!$C$8-$I484)</f>
        <v/>
      </c>
      <c r="N484" s="66" t="str">
        <f aca="false">IF($A484="","",IF(AND($F484="Project",$E484="Active",$M484&lt;&gt;"",$M484&gt;Targets!$C$12),"Yes","No"))</f>
        <v/>
      </c>
      <c r="O484" s="66" t="str">
        <f aca="false">IF($A484="","",IF(AND($G484&gt;=Targets!$C$7,$G484&lt;=Targets!$C$8),"Yes","No"))</f>
        <v/>
      </c>
      <c r="P484" s="66" t="str">
        <f aca="false">IF($A484="","",IF(AND($H484&lt;&gt;"",$H484&gt;=Targets!$C$7,$H484&lt;=Targets!$C$8),"Yes","No"))</f>
        <v/>
      </c>
      <c r="Q484" s="66" t="str">
        <f aca="false">IF($A484="","",IF(AND($F484="Project",$E484&lt;&gt;"Closed",$E484&lt;&gt;"Dormant"),"Yes","No"))</f>
        <v/>
      </c>
      <c r="R484" s="66" t="str">
        <f aca="false">IF($A484="","",IF(AND($L484="In-house",OR($E484="Intake",$E484="Active",$E484="Waiting")),"Yes","No"))</f>
        <v/>
      </c>
      <c r="S484" s="66" t="str">
        <f aca="false">IF($A484="","",$C484&amp;" | "&amp;$D484)</f>
        <v/>
      </c>
      <c r="T484" s="66" t="str">
        <f aca="false">IF($A484="","",IF(AND($L484="Outside provider",OR($E484="Intake",$E484="Active",$E484="Waiting")),"Yes","No"))</f>
        <v/>
      </c>
    </row>
    <row r="485" customFormat="false" ht="15" hidden="false" customHeight="true" outlineLevel="0" collapsed="false">
      <c r="A485" s="67"/>
      <c r="B485" s="67"/>
      <c r="C485" s="67"/>
      <c r="D485" s="67"/>
      <c r="E485" s="67" t="str">
        <f aca="false">IF($A485="","",IFERROR(INDEX('Status map'!$D$6:$D$64,MATCH($C485&amp;" | "&amp;$D485,'Status map'!$I$6:$I$64,0)),"Unmapped"))</f>
        <v/>
      </c>
      <c r="F485" s="67"/>
      <c r="G485" s="70"/>
      <c r="H485" s="70"/>
      <c r="I485" s="70"/>
      <c r="J485" s="67"/>
      <c r="K485" s="67"/>
      <c r="L485" s="67"/>
      <c r="M485" s="66" t="str">
        <f aca="false">IF(OR($A485="",$H485&lt;&gt;""),"",Targets!$C$8-$I485)</f>
        <v/>
      </c>
      <c r="N485" s="66" t="str">
        <f aca="false">IF($A485="","",IF(AND($F485="Project",$E485="Active",$M485&lt;&gt;"",$M485&gt;Targets!$C$12),"Yes","No"))</f>
        <v/>
      </c>
      <c r="O485" s="66" t="str">
        <f aca="false">IF($A485="","",IF(AND($G485&gt;=Targets!$C$7,$G485&lt;=Targets!$C$8),"Yes","No"))</f>
        <v/>
      </c>
      <c r="P485" s="66" t="str">
        <f aca="false">IF($A485="","",IF(AND($H485&lt;&gt;"",$H485&gt;=Targets!$C$7,$H485&lt;=Targets!$C$8),"Yes","No"))</f>
        <v/>
      </c>
      <c r="Q485" s="66" t="str">
        <f aca="false">IF($A485="","",IF(AND($F485="Project",$E485&lt;&gt;"Closed",$E485&lt;&gt;"Dormant"),"Yes","No"))</f>
        <v/>
      </c>
      <c r="R485" s="66" t="str">
        <f aca="false">IF($A485="","",IF(AND($L485="In-house",OR($E485="Intake",$E485="Active",$E485="Waiting")),"Yes","No"))</f>
        <v/>
      </c>
      <c r="S485" s="66" t="str">
        <f aca="false">IF($A485="","",$C485&amp;" | "&amp;$D485)</f>
        <v/>
      </c>
      <c r="T485" s="66" t="str">
        <f aca="false">IF($A485="","",IF(AND($L485="Outside provider",OR($E485="Intake",$E485="Active",$E485="Waiting")),"Yes","No"))</f>
        <v/>
      </c>
    </row>
    <row r="486" customFormat="false" ht="15" hidden="false" customHeight="true" outlineLevel="0" collapsed="false">
      <c r="A486" s="63"/>
      <c r="B486" s="63"/>
      <c r="C486" s="63"/>
      <c r="D486" s="63"/>
      <c r="E486" s="63" t="str">
        <f aca="false">IF($A486="","",IFERROR(INDEX('Status map'!$D$6:$D$64,MATCH($C486&amp;" | "&amp;$D486,'Status map'!$I$6:$I$64,0)),"Unmapped"))</f>
        <v/>
      </c>
      <c r="F486" s="63"/>
      <c r="G486" s="69"/>
      <c r="H486" s="69"/>
      <c r="I486" s="69"/>
      <c r="J486" s="63"/>
      <c r="K486" s="63"/>
      <c r="L486" s="63"/>
      <c r="M486" s="66" t="str">
        <f aca="false">IF(OR($A486="",$H486&lt;&gt;""),"",Targets!$C$8-$I486)</f>
        <v/>
      </c>
      <c r="N486" s="66" t="str">
        <f aca="false">IF($A486="","",IF(AND($F486="Project",$E486="Active",$M486&lt;&gt;"",$M486&gt;Targets!$C$12),"Yes","No"))</f>
        <v/>
      </c>
      <c r="O486" s="66" t="str">
        <f aca="false">IF($A486="","",IF(AND($G486&gt;=Targets!$C$7,$G486&lt;=Targets!$C$8),"Yes","No"))</f>
        <v/>
      </c>
      <c r="P486" s="66" t="str">
        <f aca="false">IF($A486="","",IF(AND($H486&lt;&gt;"",$H486&gt;=Targets!$C$7,$H486&lt;=Targets!$C$8),"Yes","No"))</f>
        <v/>
      </c>
      <c r="Q486" s="66" t="str">
        <f aca="false">IF($A486="","",IF(AND($F486="Project",$E486&lt;&gt;"Closed",$E486&lt;&gt;"Dormant"),"Yes","No"))</f>
        <v/>
      </c>
      <c r="R486" s="66" t="str">
        <f aca="false">IF($A486="","",IF(AND($L486="In-house",OR($E486="Intake",$E486="Active",$E486="Waiting")),"Yes","No"))</f>
        <v/>
      </c>
      <c r="S486" s="66" t="str">
        <f aca="false">IF($A486="","",$C486&amp;" | "&amp;$D486)</f>
        <v/>
      </c>
      <c r="T486" s="66" t="str">
        <f aca="false">IF($A486="","",IF(AND($L486="Outside provider",OR($E486="Intake",$E486="Active",$E486="Waiting")),"Yes","No"))</f>
        <v/>
      </c>
    </row>
    <row r="487" customFormat="false" ht="15" hidden="false" customHeight="true" outlineLevel="0" collapsed="false">
      <c r="A487" s="67"/>
      <c r="B487" s="67"/>
      <c r="C487" s="67"/>
      <c r="D487" s="67"/>
      <c r="E487" s="67" t="str">
        <f aca="false">IF($A487="","",IFERROR(INDEX('Status map'!$D$6:$D$64,MATCH($C487&amp;" | "&amp;$D487,'Status map'!$I$6:$I$64,0)),"Unmapped"))</f>
        <v/>
      </c>
      <c r="F487" s="67"/>
      <c r="G487" s="70"/>
      <c r="H487" s="70"/>
      <c r="I487" s="70"/>
      <c r="J487" s="67"/>
      <c r="K487" s="67"/>
      <c r="L487" s="67"/>
      <c r="M487" s="66" t="str">
        <f aca="false">IF(OR($A487="",$H487&lt;&gt;""),"",Targets!$C$8-$I487)</f>
        <v/>
      </c>
      <c r="N487" s="66" t="str">
        <f aca="false">IF($A487="","",IF(AND($F487="Project",$E487="Active",$M487&lt;&gt;"",$M487&gt;Targets!$C$12),"Yes","No"))</f>
        <v/>
      </c>
      <c r="O487" s="66" t="str">
        <f aca="false">IF($A487="","",IF(AND($G487&gt;=Targets!$C$7,$G487&lt;=Targets!$C$8),"Yes","No"))</f>
        <v/>
      </c>
      <c r="P487" s="66" t="str">
        <f aca="false">IF($A487="","",IF(AND($H487&lt;&gt;"",$H487&gt;=Targets!$C$7,$H487&lt;=Targets!$C$8),"Yes","No"))</f>
        <v/>
      </c>
      <c r="Q487" s="66" t="str">
        <f aca="false">IF($A487="","",IF(AND($F487="Project",$E487&lt;&gt;"Closed",$E487&lt;&gt;"Dormant"),"Yes","No"))</f>
        <v/>
      </c>
      <c r="R487" s="66" t="str">
        <f aca="false">IF($A487="","",IF(AND($L487="In-house",OR($E487="Intake",$E487="Active",$E487="Waiting")),"Yes","No"))</f>
        <v/>
      </c>
      <c r="S487" s="66" t="str">
        <f aca="false">IF($A487="","",$C487&amp;" | "&amp;$D487)</f>
        <v/>
      </c>
      <c r="T487" s="66" t="str">
        <f aca="false">IF($A487="","",IF(AND($L487="Outside provider",OR($E487="Intake",$E487="Active",$E487="Waiting")),"Yes","No"))</f>
        <v/>
      </c>
    </row>
    <row r="488" customFormat="false" ht="15" hidden="false" customHeight="true" outlineLevel="0" collapsed="false">
      <c r="A488" s="63"/>
      <c r="B488" s="63"/>
      <c r="C488" s="63"/>
      <c r="D488" s="63"/>
      <c r="E488" s="63" t="str">
        <f aca="false">IF($A488="","",IFERROR(INDEX('Status map'!$D$6:$D$64,MATCH($C488&amp;" | "&amp;$D488,'Status map'!$I$6:$I$64,0)),"Unmapped"))</f>
        <v/>
      </c>
      <c r="F488" s="63"/>
      <c r="G488" s="69"/>
      <c r="H488" s="69"/>
      <c r="I488" s="69"/>
      <c r="J488" s="63"/>
      <c r="K488" s="63"/>
      <c r="L488" s="63"/>
      <c r="M488" s="66" t="str">
        <f aca="false">IF(OR($A488="",$H488&lt;&gt;""),"",Targets!$C$8-$I488)</f>
        <v/>
      </c>
      <c r="N488" s="66" t="str">
        <f aca="false">IF($A488="","",IF(AND($F488="Project",$E488="Active",$M488&lt;&gt;"",$M488&gt;Targets!$C$12),"Yes","No"))</f>
        <v/>
      </c>
      <c r="O488" s="66" t="str">
        <f aca="false">IF($A488="","",IF(AND($G488&gt;=Targets!$C$7,$G488&lt;=Targets!$C$8),"Yes","No"))</f>
        <v/>
      </c>
      <c r="P488" s="66" t="str">
        <f aca="false">IF($A488="","",IF(AND($H488&lt;&gt;"",$H488&gt;=Targets!$C$7,$H488&lt;=Targets!$C$8),"Yes","No"))</f>
        <v/>
      </c>
      <c r="Q488" s="66" t="str">
        <f aca="false">IF($A488="","",IF(AND($F488="Project",$E488&lt;&gt;"Closed",$E488&lt;&gt;"Dormant"),"Yes","No"))</f>
        <v/>
      </c>
      <c r="R488" s="66" t="str">
        <f aca="false">IF($A488="","",IF(AND($L488="In-house",OR($E488="Intake",$E488="Active",$E488="Waiting")),"Yes","No"))</f>
        <v/>
      </c>
      <c r="S488" s="66" t="str">
        <f aca="false">IF($A488="","",$C488&amp;" | "&amp;$D488)</f>
        <v/>
      </c>
      <c r="T488" s="66" t="str">
        <f aca="false">IF($A488="","",IF(AND($L488="Outside provider",OR($E488="Intake",$E488="Active",$E488="Waiting")),"Yes","No"))</f>
        <v/>
      </c>
    </row>
    <row r="489" customFormat="false" ht="15" hidden="false" customHeight="true" outlineLevel="0" collapsed="false">
      <c r="A489" s="67"/>
      <c r="B489" s="67"/>
      <c r="C489" s="67"/>
      <c r="D489" s="67"/>
      <c r="E489" s="67" t="str">
        <f aca="false">IF($A489="","",IFERROR(INDEX('Status map'!$D$6:$D$64,MATCH($C489&amp;" | "&amp;$D489,'Status map'!$I$6:$I$64,0)),"Unmapped"))</f>
        <v/>
      </c>
      <c r="F489" s="67"/>
      <c r="G489" s="70"/>
      <c r="H489" s="70"/>
      <c r="I489" s="70"/>
      <c r="J489" s="67"/>
      <c r="K489" s="67"/>
      <c r="L489" s="67"/>
      <c r="M489" s="66" t="str">
        <f aca="false">IF(OR($A489="",$H489&lt;&gt;""),"",Targets!$C$8-$I489)</f>
        <v/>
      </c>
      <c r="N489" s="66" t="str">
        <f aca="false">IF($A489="","",IF(AND($F489="Project",$E489="Active",$M489&lt;&gt;"",$M489&gt;Targets!$C$12),"Yes","No"))</f>
        <v/>
      </c>
      <c r="O489" s="66" t="str">
        <f aca="false">IF($A489="","",IF(AND($G489&gt;=Targets!$C$7,$G489&lt;=Targets!$C$8),"Yes","No"))</f>
        <v/>
      </c>
      <c r="P489" s="66" t="str">
        <f aca="false">IF($A489="","",IF(AND($H489&lt;&gt;"",$H489&gt;=Targets!$C$7,$H489&lt;=Targets!$C$8),"Yes","No"))</f>
        <v/>
      </c>
      <c r="Q489" s="66" t="str">
        <f aca="false">IF($A489="","",IF(AND($F489="Project",$E489&lt;&gt;"Closed",$E489&lt;&gt;"Dormant"),"Yes","No"))</f>
        <v/>
      </c>
      <c r="R489" s="66" t="str">
        <f aca="false">IF($A489="","",IF(AND($L489="In-house",OR($E489="Intake",$E489="Active",$E489="Waiting")),"Yes","No"))</f>
        <v/>
      </c>
      <c r="S489" s="66" t="str">
        <f aca="false">IF($A489="","",$C489&amp;" | "&amp;$D489)</f>
        <v/>
      </c>
      <c r="T489" s="66" t="str">
        <f aca="false">IF($A489="","",IF(AND($L489="Outside provider",OR($E489="Intake",$E489="Active",$E489="Waiting")),"Yes","No"))</f>
        <v/>
      </c>
    </row>
    <row r="490" customFormat="false" ht="15" hidden="false" customHeight="true" outlineLevel="0" collapsed="false">
      <c r="A490" s="63"/>
      <c r="B490" s="63"/>
      <c r="C490" s="63"/>
      <c r="D490" s="63"/>
      <c r="E490" s="63" t="str">
        <f aca="false">IF($A490="","",IFERROR(INDEX('Status map'!$D$6:$D$64,MATCH($C490&amp;" | "&amp;$D490,'Status map'!$I$6:$I$64,0)),"Unmapped"))</f>
        <v/>
      </c>
      <c r="F490" s="63"/>
      <c r="G490" s="69"/>
      <c r="H490" s="69"/>
      <c r="I490" s="69"/>
      <c r="J490" s="63"/>
      <c r="K490" s="63"/>
      <c r="L490" s="63"/>
      <c r="M490" s="66" t="str">
        <f aca="false">IF(OR($A490="",$H490&lt;&gt;""),"",Targets!$C$8-$I490)</f>
        <v/>
      </c>
      <c r="N490" s="66" t="str">
        <f aca="false">IF($A490="","",IF(AND($F490="Project",$E490="Active",$M490&lt;&gt;"",$M490&gt;Targets!$C$12),"Yes","No"))</f>
        <v/>
      </c>
      <c r="O490" s="66" t="str">
        <f aca="false">IF($A490="","",IF(AND($G490&gt;=Targets!$C$7,$G490&lt;=Targets!$C$8),"Yes","No"))</f>
        <v/>
      </c>
      <c r="P490" s="66" t="str">
        <f aca="false">IF($A490="","",IF(AND($H490&lt;&gt;"",$H490&gt;=Targets!$C$7,$H490&lt;=Targets!$C$8),"Yes","No"))</f>
        <v/>
      </c>
      <c r="Q490" s="66" t="str">
        <f aca="false">IF($A490="","",IF(AND($F490="Project",$E490&lt;&gt;"Closed",$E490&lt;&gt;"Dormant"),"Yes","No"))</f>
        <v/>
      </c>
      <c r="R490" s="66" t="str">
        <f aca="false">IF($A490="","",IF(AND($L490="In-house",OR($E490="Intake",$E490="Active",$E490="Waiting")),"Yes","No"))</f>
        <v/>
      </c>
      <c r="S490" s="66" t="str">
        <f aca="false">IF($A490="","",$C490&amp;" | "&amp;$D490)</f>
        <v/>
      </c>
      <c r="T490" s="66" t="str">
        <f aca="false">IF($A490="","",IF(AND($L490="Outside provider",OR($E490="Intake",$E490="Active",$E490="Waiting")),"Yes","No"))</f>
        <v/>
      </c>
    </row>
    <row r="491" customFormat="false" ht="15" hidden="false" customHeight="true" outlineLevel="0" collapsed="false">
      <c r="A491" s="67"/>
      <c r="B491" s="67"/>
      <c r="C491" s="67"/>
      <c r="D491" s="67"/>
      <c r="E491" s="67" t="str">
        <f aca="false">IF($A491="","",IFERROR(INDEX('Status map'!$D$6:$D$64,MATCH($C491&amp;" | "&amp;$D491,'Status map'!$I$6:$I$64,0)),"Unmapped"))</f>
        <v/>
      </c>
      <c r="F491" s="67"/>
      <c r="G491" s="70"/>
      <c r="H491" s="70"/>
      <c r="I491" s="70"/>
      <c r="J491" s="67"/>
      <c r="K491" s="67"/>
      <c r="L491" s="67"/>
      <c r="M491" s="66" t="str">
        <f aca="false">IF(OR($A491="",$H491&lt;&gt;""),"",Targets!$C$8-$I491)</f>
        <v/>
      </c>
      <c r="N491" s="66" t="str">
        <f aca="false">IF($A491="","",IF(AND($F491="Project",$E491="Active",$M491&lt;&gt;"",$M491&gt;Targets!$C$12),"Yes","No"))</f>
        <v/>
      </c>
      <c r="O491" s="66" t="str">
        <f aca="false">IF($A491="","",IF(AND($G491&gt;=Targets!$C$7,$G491&lt;=Targets!$C$8),"Yes","No"))</f>
        <v/>
      </c>
      <c r="P491" s="66" t="str">
        <f aca="false">IF($A491="","",IF(AND($H491&lt;&gt;"",$H491&gt;=Targets!$C$7,$H491&lt;=Targets!$C$8),"Yes","No"))</f>
        <v/>
      </c>
      <c r="Q491" s="66" t="str">
        <f aca="false">IF($A491="","",IF(AND($F491="Project",$E491&lt;&gt;"Closed",$E491&lt;&gt;"Dormant"),"Yes","No"))</f>
        <v/>
      </c>
      <c r="R491" s="66" t="str">
        <f aca="false">IF($A491="","",IF(AND($L491="In-house",OR($E491="Intake",$E491="Active",$E491="Waiting")),"Yes","No"))</f>
        <v/>
      </c>
      <c r="S491" s="66" t="str">
        <f aca="false">IF($A491="","",$C491&amp;" | "&amp;$D491)</f>
        <v/>
      </c>
      <c r="T491" s="66" t="str">
        <f aca="false">IF($A491="","",IF(AND($L491="Outside provider",OR($E491="Intake",$E491="Active",$E491="Waiting")),"Yes","No"))</f>
        <v/>
      </c>
    </row>
    <row r="492" customFormat="false" ht="15" hidden="false" customHeight="true" outlineLevel="0" collapsed="false">
      <c r="A492" s="63"/>
      <c r="B492" s="63"/>
      <c r="C492" s="63"/>
      <c r="D492" s="63"/>
      <c r="E492" s="63" t="str">
        <f aca="false">IF($A492="","",IFERROR(INDEX('Status map'!$D$6:$D$64,MATCH($C492&amp;" | "&amp;$D492,'Status map'!$I$6:$I$64,0)),"Unmapped"))</f>
        <v/>
      </c>
      <c r="F492" s="63"/>
      <c r="G492" s="69"/>
      <c r="H492" s="69"/>
      <c r="I492" s="69"/>
      <c r="J492" s="63"/>
      <c r="K492" s="63"/>
      <c r="L492" s="63"/>
      <c r="M492" s="66" t="str">
        <f aca="false">IF(OR($A492="",$H492&lt;&gt;""),"",Targets!$C$8-$I492)</f>
        <v/>
      </c>
      <c r="N492" s="66" t="str">
        <f aca="false">IF($A492="","",IF(AND($F492="Project",$E492="Active",$M492&lt;&gt;"",$M492&gt;Targets!$C$12),"Yes","No"))</f>
        <v/>
      </c>
      <c r="O492" s="66" t="str">
        <f aca="false">IF($A492="","",IF(AND($G492&gt;=Targets!$C$7,$G492&lt;=Targets!$C$8),"Yes","No"))</f>
        <v/>
      </c>
      <c r="P492" s="66" t="str">
        <f aca="false">IF($A492="","",IF(AND($H492&lt;&gt;"",$H492&gt;=Targets!$C$7,$H492&lt;=Targets!$C$8),"Yes","No"))</f>
        <v/>
      </c>
      <c r="Q492" s="66" t="str">
        <f aca="false">IF($A492="","",IF(AND($F492="Project",$E492&lt;&gt;"Closed",$E492&lt;&gt;"Dormant"),"Yes","No"))</f>
        <v/>
      </c>
      <c r="R492" s="66" t="str">
        <f aca="false">IF($A492="","",IF(AND($L492="In-house",OR($E492="Intake",$E492="Active",$E492="Waiting")),"Yes","No"))</f>
        <v/>
      </c>
      <c r="S492" s="66" t="str">
        <f aca="false">IF($A492="","",$C492&amp;" | "&amp;$D492)</f>
        <v/>
      </c>
      <c r="T492" s="66" t="str">
        <f aca="false">IF($A492="","",IF(AND($L492="Outside provider",OR($E492="Intake",$E492="Active",$E492="Waiting")),"Yes","No"))</f>
        <v/>
      </c>
    </row>
    <row r="493" customFormat="false" ht="15" hidden="false" customHeight="true" outlineLevel="0" collapsed="false">
      <c r="A493" s="67"/>
      <c r="B493" s="67"/>
      <c r="C493" s="67"/>
      <c r="D493" s="67"/>
      <c r="E493" s="67" t="str">
        <f aca="false">IF($A493="","",IFERROR(INDEX('Status map'!$D$6:$D$64,MATCH($C493&amp;" | "&amp;$D493,'Status map'!$I$6:$I$64,0)),"Unmapped"))</f>
        <v/>
      </c>
      <c r="F493" s="67"/>
      <c r="G493" s="70"/>
      <c r="H493" s="70"/>
      <c r="I493" s="70"/>
      <c r="J493" s="67"/>
      <c r="K493" s="67"/>
      <c r="L493" s="67"/>
      <c r="M493" s="66" t="str">
        <f aca="false">IF(OR($A493="",$H493&lt;&gt;""),"",Targets!$C$8-$I493)</f>
        <v/>
      </c>
      <c r="N493" s="66" t="str">
        <f aca="false">IF($A493="","",IF(AND($F493="Project",$E493="Active",$M493&lt;&gt;"",$M493&gt;Targets!$C$12),"Yes","No"))</f>
        <v/>
      </c>
      <c r="O493" s="66" t="str">
        <f aca="false">IF($A493="","",IF(AND($G493&gt;=Targets!$C$7,$G493&lt;=Targets!$C$8),"Yes","No"))</f>
        <v/>
      </c>
      <c r="P493" s="66" t="str">
        <f aca="false">IF($A493="","",IF(AND($H493&lt;&gt;"",$H493&gt;=Targets!$C$7,$H493&lt;=Targets!$C$8),"Yes","No"))</f>
        <v/>
      </c>
      <c r="Q493" s="66" t="str">
        <f aca="false">IF($A493="","",IF(AND($F493="Project",$E493&lt;&gt;"Closed",$E493&lt;&gt;"Dormant"),"Yes","No"))</f>
        <v/>
      </c>
      <c r="R493" s="66" t="str">
        <f aca="false">IF($A493="","",IF(AND($L493="In-house",OR($E493="Intake",$E493="Active",$E493="Waiting")),"Yes","No"))</f>
        <v/>
      </c>
      <c r="S493" s="66" t="str">
        <f aca="false">IF($A493="","",$C493&amp;" | "&amp;$D493)</f>
        <v/>
      </c>
      <c r="T493" s="66" t="str">
        <f aca="false">IF($A493="","",IF(AND($L493="Outside provider",OR($E493="Intake",$E493="Active",$E493="Waiting")),"Yes","No"))</f>
        <v/>
      </c>
    </row>
    <row r="494" customFormat="false" ht="15" hidden="false" customHeight="true" outlineLevel="0" collapsed="false">
      <c r="A494" s="63"/>
      <c r="B494" s="63"/>
      <c r="C494" s="63"/>
      <c r="D494" s="63"/>
      <c r="E494" s="63" t="str">
        <f aca="false">IF($A494="","",IFERROR(INDEX('Status map'!$D$6:$D$64,MATCH($C494&amp;" | "&amp;$D494,'Status map'!$I$6:$I$64,0)),"Unmapped"))</f>
        <v/>
      </c>
      <c r="F494" s="63"/>
      <c r="G494" s="69"/>
      <c r="H494" s="69"/>
      <c r="I494" s="69"/>
      <c r="J494" s="63"/>
      <c r="K494" s="63"/>
      <c r="L494" s="63"/>
      <c r="M494" s="66" t="str">
        <f aca="false">IF(OR($A494="",$H494&lt;&gt;""),"",Targets!$C$8-$I494)</f>
        <v/>
      </c>
      <c r="N494" s="66" t="str">
        <f aca="false">IF($A494="","",IF(AND($F494="Project",$E494="Active",$M494&lt;&gt;"",$M494&gt;Targets!$C$12),"Yes","No"))</f>
        <v/>
      </c>
      <c r="O494" s="66" t="str">
        <f aca="false">IF($A494="","",IF(AND($G494&gt;=Targets!$C$7,$G494&lt;=Targets!$C$8),"Yes","No"))</f>
        <v/>
      </c>
      <c r="P494" s="66" t="str">
        <f aca="false">IF($A494="","",IF(AND($H494&lt;&gt;"",$H494&gt;=Targets!$C$7,$H494&lt;=Targets!$C$8),"Yes","No"))</f>
        <v/>
      </c>
      <c r="Q494" s="66" t="str">
        <f aca="false">IF($A494="","",IF(AND($F494="Project",$E494&lt;&gt;"Closed",$E494&lt;&gt;"Dormant"),"Yes","No"))</f>
        <v/>
      </c>
      <c r="R494" s="66" t="str">
        <f aca="false">IF($A494="","",IF(AND($L494="In-house",OR($E494="Intake",$E494="Active",$E494="Waiting")),"Yes","No"))</f>
        <v/>
      </c>
      <c r="S494" s="66" t="str">
        <f aca="false">IF($A494="","",$C494&amp;" | "&amp;$D494)</f>
        <v/>
      </c>
      <c r="T494" s="66" t="str">
        <f aca="false">IF($A494="","",IF(AND($L494="Outside provider",OR($E494="Intake",$E494="Active",$E494="Waiting")),"Yes","No"))</f>
        <v/>
      </c>
    </row>
    <row r="495" customFormat="false" ht="15" hidden="false" customHeight="true" outlineLevel="0" collapsed="false">
      <c r="A495" s="67"/>
      <c r="B495" s="67"/>
      <c r="C495" s="67"/>
      <c r="D495" s="67"/>
      <c r="E495" s="67" t="str">
        <f aca="false">IF($A495="","",IFERROR(INDEX('Status map'!$D$6:$D$64,MATCH($C495&amp;" | "&amp;$D495,'Status map'!$I$6:$I$64,0)),"Unmapped"))</f>
        <v/>
      </c>
      <c r="F495" s="67"/>
      <c r="G495" s="70"/>
      <c r="H495" s="70"/>
      <c r="I495" s="70"/>
      <c r="J495" s="67"/>
      <c r="K495" s="67"/>
      <c r="L495" s="67"/>
      <c r="M495" s="66" t="str">
        <f aca="false">IF(OR($A495="",$H495&lt;&gt;""),"",Targets!$C$8-$I495)</f>
        <v/>
      </c>
      <c r="N495" s="66" t="str">
        <f aca="false">IF($A495="","",IF(AND($F495="Project",$E495="Active",$M495&lt;&gt;"",$M495&gt;Targets!$C$12),"Yes","No"))</f>
        <v/>
      </c>
      <c r="O495" s="66" t="str">
        <f aca="false">IF($A495="","",IF(AND($G495&gt;=Targets!$C$7,$G495&lt;=Targets!$C$8),"Yes","No"))</f>
        <v/>
      </c>
      <c r="P495" s="66" t="str">
        <f aca="false">IF($A495="","",IF(AND($H495&lt;&gt;"",$H495&gt;=Targets!$C$7,$H495&lt;=Targets!$C$8),"Yes","No"))</f>
        <v/>
      </c>
      <c r="Q495" s="66" t="str">
        <f aca="false">IF($A495="","",IF(AND($F495="Project",$E495&lt;&gt;"Closed",$E495&lt;&gt;"Dormant"),"Yes","No"))</f>
        <v/>
      </c>
      <c r="R495" s="66" t="str">
        <f aca="false">IF($A495="","",IF(AND($L495="In-house",OR($E495="Intake",$E495="Active",$E495="Waiting")),"Yes","No"))</f>
        <v/>
      </c>
      <c r="S495" s="66" t="str">
        <f aca="false">IF($A495="","",$C495&amp;" | "&amp;$D495)</f>
        <v/>
      </c>
      <c r="T495" s="66" t="str">
        <f aca="false">IF($A495="","",IF(AND($L495="Outside provider",OR($E495="Intake",$E495="Active",$E495="Waiting")),"Yes","No"))</f>
        <v/>
      </c>
    </row>
    <row r="496" customFormat="false" ht="15" hidden="false" customHeight="true" outlineLevel="0" collapsed="false">
      <c r="A496" s="63"/>
      <c r="B496" s="63"/>
      <c r="C496" s="63"/>
      <c r="D496" s="63"/>
      <c r="E496" s="63" t="str">
        <f aca="false">IF($A496="","",IFERROR(INDEX('Status map'!$D$6:$D$64,MATCH($C496&amp;" | "&amp;$D496,'Status map'!$I$6:$I$64,0)),"Unmapped"))</f>
        <v/>
      </c>
      <c r="F496" s="63"/>
      <c r="G496" s="69"/>
      <c r="H496" s="69"/>
      <c r="I496" s="69"/>
      <c r="J496" s="63"/>
      <c r="K496" s="63"/>
      <c r="L496" s="63"/>
      <c r="M496" s="66" t="str">
        <f aca="false">IF(OR($A496="",$H496&lt;&gt;""),"",Targets!$C$8-$I496)</f>
        <v/>
      </c>
      <c r="N496" s="66" t="str">
        <f aca="false">IF($A496="","",IF(AND($F496="Project",$E496="Active",$M496&lt;&gt;"",$M496&gt;Targets!$C$12),"Yes","No"))</f>
        <v/>
      </c>
      <c r="O496" s="66" t="str">
        <f aca="false">IF($A496="","",IF(AND($G496&gt;=Targets!$C$7,$G496&lt;=Targets!$C$8),"Yes","No"))</f>
        <v/>
      </c>
      <c r="P496" s="66" t="str">
        <f aca="false">IF($A496="","",IF(AND($H496&lt;&gt;"",$H496&gt;=Targets!$C$7,$H496&lt;=Targets!$C$8),"Yes","No"))</f>
        <v/>
      </c>
      <c r="Q496" s="66" t="str">
        <f aca="false">IF($A496="","",IF(AND($F496="Project",$E496&lt;&gt;"Closed",$E496&lt;&gt;"Dormant"),"Yes","No"))</f>
        <v/>
      </c>
      <c r="R496" s="66" t="str">
        <f aca="false">IF($A496="","",IF(AND($L496="In-house",OR($E496="Intake",$E496="Active",$E496="Waiting")),"Yes","No"))</f>
        <v/>
      </c>
      <c r="S496" s="66" t="str">
        <f aca="false">IF($A496="","",$C496&amp;" | "&amp;$D496)</f>
        <v/>
      </c>
      <c r="T496" s="66" t="str">
        <f aca="false">IF($A496="","",IF(AND($L496="Outside provider",OR($E496="Intake",$E496="Active",$E496="Waiting")),"Yes","No"))</f>
        <v/>
      </c>
    </row>
    <row r="497" customFormat="false" ht="15" hidden="false" customHeight="true" outlineLevel="0" collapsed="false">
      <c r="A497" s="67"/>
      <c r="B497" s="67"/>
      <c r="C497" s="67"/>
      <c r="D497" s="67"/>
      <c r="E497" s="67" t="str">
        <f aca="false">IF($A497="","",IFERROR(INDEX('Status map'!$D$6:$D$64,MATCH($C497&amp;" | "&amp;$D497,'Status map'!$I$6:$I$64,0)),"Unmapped"))</f>
        <v/>
      </c>
      <c r="F497" s="67"/>
      <c r="G497" s="70"/>
      <c r="H497" s="70"/>
      <c r="I497" s="70"/>
      <c r="J497" s="67"/>
      <c r="K497" s="67"/>
      <c r="L497" s="67"/>
      <c r="M497" s="66" t="str">
        <f aca="false">IF(OR($A497="",$H497&lt;&gt;""),"",Targets!$C$8-$I497)</f>
        <v/>
      </c>
      <c r="N497" s="66" t="str">
        <f aca="false">IF($A497="","",IF(AND($F497="Project",$E497="Active",$M497&lt;&gt;"",$M497&gt;Targets!$C$12),"Yes","No"))</f>
        <v/>
      </c>
      <c r="O497" s="66" t="str">
        <f aca="false">IF($A497="","",IF(AND($G497&gt;=Targets!$C$7,$G497&lt;=Targets!$C$8),"Yes","No"))</f>
        <v/>
      </c>
      <c r="P497" s="66" t="str">
        <f aca="false">IF($A497="","",IF(AND($H497&lt;&gt;"",$H497&gt;=Targets!$C$7,$H497&lt;=Targets!$C$8),"Yes","No"))</f>
        <v/>
      </c>
      <c r="Q497" s="66" t="str">
        <f aca="false">IF($A497="","",IF(AND($F497="Project",$E497&lt;&gt;"Closed",$E497&lt;&gt;"Dormant"),"Yes","No"))</f>
        <v/>
      </c>
      <c r="R497" s="66" t="str">
        <f aca="false">IF($A497="","",IF(AND($L497="In-house",OR($E497="Intake",$E497="Active",$E497="Waiting")),"Yes","No"))</f>
        <v/>
      </c>
      <c r="S497" s="66" t="str">
        <f aca="false">IF($A497="","",$C497&amp;" | "&amp;$D497)</f>
        <v/>
      </c>
      <c r="T497" s="66" t="str">
        <f aca="false">IF($A497="","",IF(AND($L497="Outside provider",OR($E497="Intake",$E497="Active",$E497="Waiting")),"Yes","No"))</f>
        <v/>
      </c>
    </row>
    <row r="498" customFormat="false" ht="15" hidden="false" customHeight="true" outlineLevel="0" collapsed="false">
      <c r="A498" s="63"/>
      <c r="B498" s="63"/>
      <c r="C498" s="63"/>
      <c r="D498" s="63"/>
      <c r="E498" s="63" t="str">
        <f aca="false">IF($A498="","",IFERROR(INDEX('Status map'!$D$6:$D$64,MATCH($C498&amp;" | "&amp;$D498,'Status map'!$I$6:$I$64,0)),"Unmapped"))</f>
        <v/>
      </c>
      <c r="F498" s="63"/>
      <c r="G498" s="69"/>
      <c r="H498" s="69"/>
      <c r="I498" s="69"/>
      <c r="J498" s="63"/>
      <c r="K498" s="63"/>
      <c r="L498" s="63"/>
      <c r="M498" s="66" t="str">
        <f aca="false">IF(OR($A498="",$H498&lt;&gt;""),"",Targets!$C$8-$I498)</f>
        <v/>
      </c>
      <c r="N498" s="66" t="str">
        <f aca="false">IF($A498="","",IF(AND($F498="Project",$E498="Active",$M498&lt;&gt;"",$M498&gt;Targets!$C$12),"Yes","No"))</f>
        <v/>
      </c>
      <c r="O498" s="66" t="str">
        <f aca="false">IF($A498="","",IF(AND($G498&gt;=Targets!$C$7,$G498&lt;=Targets!$C$8),"Yes","No"))</f>
        <v/>
      </c>
      <c r="P498" s="66" t="str">
        <f aca="false">IF($A498="","",IF(AND($H498&lt;&gt;"",$H498&gt;=Targets!$C$7,$H498&lt;=Targets!$C$8),"Yes","No"))</f>
        <v/>
      </c>
      <c r="Q498" s="66" t="str">
        <f aca="false">IF($A498="","",IF(AND($F498="Project",$E498&lt;&gt;"Closed",$E498&lt;&gt;"Dormant"),"Yes","No"))</f>
        <v/>
      </c>
      <c r="R498" s="66" t="str">
        <f aca="false">IF($A498="","",IF(AND($L498="In-house",OR($E498="Intake",$E498="Active",$E498="Waiting")),"Yes","No"))</f>
        <v/>
      </c>
      <c r="S498" s="66" t="str">
        <f aca="false">IF($A498="","",$C498&amp;" | "&amp;$D498)</f>
        <v/>
      </c>
      <c r="T498" s="66" t="str">
        <f aca="false">IF($A498="","",IF(AND($L498="Outside provider",OR($E498="Intake",$E498="Active",$E498="Waiting")),"Yes","No"))</f>
        <v/>
      </c>
    </row>
    <row r="499" customFormat="false" ht="15" hidden="false" customHeight="true" outlineLevel="0" collapsed="false">
      <c r="A499" s="67"/>
      <c r="B499" s="67"/>
      <c r="C499" s="67"/>
      <c r="D499" s="67"/>
      <c r="E499" s="67" t="str">
        <f aca="false">IF($A499="","",IFERROR(INDEX('Status map'!$D$6:$D$64,MATCH($C499&amp;" | "&amp;$D499,'Status map'!$I$6:$I$64,0)),"Unmapped"))</f>
        <v/>
      </c>
      <c r="F499" s="67"/>
      <c r="G499" s="70"/>
      <c r="H499" s="70"/>
      <c r="I499" s="70"/>
      <c r="J499" s="67"/>
      <c r="K499" s="67"/>
      <c r="L499" s="67"/>
      <c r="M499" s="66" t="str">
        <f aca="false">IF(OR($A499="",$H499&lt;&gt;""),"",Targets!$C$8-$I499)</f>
        <v/>
      </c>
      <c r="N499" s="66" t="str">
        <f aca="false">IF($A499="","",IF(AND($F499="Project",$E499="Active",$M499&lt;&gt;"",$M499&gt;Targets!$C$12),"Yes","No"))</f>
        <v/>
      </c>
      <c r="O499" s="66" t="str">
        <f aca="false">IF($A499="","",IF(AND($G499&gt;=Targets!$C$7,$G499&lt;=Targets!$C$8),"Yes","No"))</f>
        <v/>
      </c>
      <c r="P499" s="66" t="str">
        <f aca="false">IF($A499="","",IF(AND($H499&lt;&gt;"",$H499&gt;=Targets!$C$7,$H499&lt;=Targets!$C$8),"Yes","No"))</f>
        <v/>
      </c>
      <c r="Q499" s="66" t="str">
        <f aca="false">IF($A499="","",IF(AND($F499="Project",$E499&lt;&gt;"Closed",$E499&lt;&gt;"Dormant"),"Yes","No"))</f>
        <v/>
      </c>
      <c r="R499" s="66" t="str">
        <f aca="false">IF($A499="","",IF(AND($L499="In-house",OR($E499="Intake",$E499="Active",$E499="Waiting")),"Yes","No"))</f>
        <v/>
      </c>
      <c r="S499" s="66" t="str">
        <f aca="false">IF($A499="","",$C499&amp;" | "&amp;$D499)</f>
        <v/>
      </c>
      <c r="T499" s="66" t="str">
        <f aca="false">IF($A499="","",IF(AND($L499="Outside provider",OR($E499="Intake",$E499="Active",$E499="Waiting")),"Yes","No"))</f>
        <v/>
      </c>
    </row>
    <row r="500" customFormat="false" ht="15" hidden="false" customHeight="true" outlineLevel="0" collapsed="false">
      <c r="A500" s="63"/>
      <c r="B500" s="63"/>
      <c r="C500" s="63"/>
      <c r="D500" s="63"/>
      <c r="E500" s="63" t="str">
        <f aca="false">IF($A500="","",IFERROR(INDEX('Status map'!$D$6:$D$64,MATCH($C500&amp;" | "&amp;$D500,'Status map'!$I$6:$I$64,0)),"Unmapped"))</f>
        <v/>
      </c>
      <c r="F500" s="63"/>
      <c r="G500" s="69"/>
      <c r="H500" s="69"/>
      <c r="I500" s="69"/>
      <c r="J500" s="63"/>
      <c r="K500" s="63"/>
      <c r="L500" s="63"/>
      <c r="M500" s="66" t="str">
        <f aca="false">IF(OR($A500="",$H500&lt;&gt;""),"",Targets!$C$8-$I500)</f>
        <v/>
      </c>
      <c r="N500" s="66" t="str">
        <f aca="false">IF($A500="","",IF(AND($F500="Project",$E500="Active",$M500&lt;&gt;"",$M500&gt;Targets!$C$12),"Yes","No"))</f>
        <v/>
      </c>
      <c r="O500" s="66" t="str">
        <f aca="false">IF($A500="","",IF(AND($G500&gt;=Targets!$C$7,$G500&lt;=Targets!$C$8),"Yes","No"))</f>
        <v/>
      </c>
      <c r="P500" s="66" t="str">
        <f aca="false">IF($A500="","",IF(AND($H500&lt;&gt;"",$H500&gt;=Targets!$C$7,$H500&lt;=Targets!$C$8),"Yes","No"))</f>
        <v/>
      </c>
      <c r="Q500" s="66" t="str">
        <f aca="false">IF($A500="","",IF(AND($F500="Project",$E500&lt;&gt;"Closed",$E500&lt;&gt;"Dormant"),"Yes","No"))</f>
        <v/>
      </c>
      <c r="R500" s="66" t="str">
        <f aca="false">IF($A500="","",IF(AND($L500="In-house",OR($E500="Intake",$E500="Active",$E500="Waiting")),"Yes","No"))</f>
        <v/>
      </c>
      <c r="S500" s="66" t="str">
        <f aca="false">IF($A500="","",$C500&amp;" | "&amp;$D500)</f>
        <v/>
      </c>
      <c r="T500" s="66" t="str">
        <f aca="false">IF($A500="","",IF(AND($L500="Outside provider",OR($E500="Intake",$E500="Active",$E500="Waiting")),"Yes","No"))</f>
        <v/>
      </c>
    </row>
    <row r="501" customFormat="false" ht="15" hidden="false" customHeight="true" outlineLevel="0" collapsed="false">
      <c r="A501" s="67"/>
      <c r="B501" s="67"/>
      <c r="C501" s="67"/>
      <c r="D501" s="67"/>
      <c r="E501" s="67" t="str">
        <f aca="false">IF($A501="","",IFERROR(INDEX('Status map'!$D$6:$D$64,MATCH($C501&amp;" | "&amp;$D501,'Status map'!$I$6:$I$64,0)),"Unmapped"))</f>
        <v/>
      </c>
      <c r="F501" s="67"/>
      <c r="G501" s="70"/>
      <c r="H501" s="70"/>
      <c r="I501" s="70"/>
      <c r="J501" s="67"/>
      <c r="K501" s="67"/>
      <c r="L501" s="67"/>
      <c r="M501" s="66" t="str">
        <f aca="false">IF(OR($A501="",$H501&lt;&gt;""),"",Targets!$C$8-$I501)</f>
        <v/>
      </c>
      <c r="N501" s="66" t="str">
        <f aca="false">IF($A501="","",IF(AND($F501="Project",$E501="Active",$M501&lt;&gt;"",$M501&gt;Targets!$C$12),"Yes","No"))</f>
        <v/>
      </c>
      <c r="O501" s="66" t="str">
        <f aca="false">IF($A501="","",IF(AND($G501&gt;=Targets!$C$7,$G501&lt;=Targets!$C$8),"Yes","No"))</f>
        <v/>
      </c>
      <c r="P501" s="66" t="str">
        <f aca="false">IF($A501="","",IF(AND($H501&lt;&gt;"",$H501&gt;=Targets!$C$7,$H501&lt;=Targets!$C$8),"Yes","No"))</f>
        <v/>
      </c>
      <c r="Q501" s="66" t="str">
        <f aca="false">IF($A501="","",IF(AND($F501="Project",$E501&lt;&gt;"Closed",$E501&lt;&gt;"Dormant"),"Yes","No"))</f>
        <v/>
      </c>
      <c r="R501" s="66" t="str">
        <f aca="false">IF($A501="","",IF(AND($L501="In-house",OR($E501="Intake",$E501="Active",$E501="Waiting")),"Yes","No"))</f>
        <v/>
      </c>
      <c r="S501" s="66" t="str">
        <f aca="false">IF($A501="","",$C501&amp;" | "&amp;$D501)</f>
        <v/>
      </c>
      <c r="T501" s="66" t="str">
        <f aca="false">IF($A501="","",IF(AND($L501="Outside provider",OR($E501="Intake",$E501="Active",$E501="Waiting")),"Yes","No"))</f>
        <v/>
      </c>
    </row>
    <row r="502" customFormat="false" ht="15" hidden="false" customHeight="true" outlineLevel="0" collapsed="false">
      <c r="A502" s="63"/>
      <c r="B502" s="63"/>
      <c r="C502" s="63"/>
      <c r="D502" s="63"/>
      <c r="E502" s="63" t="str">
        <f aca="false">IF($A502="","",IFERROR(INDEX('Status map'!$D$6:$D$64,MATCH($C502&amp;" | "&amp;$D502,'Status map'!$I$6:$I$64,0)),"Unmapped"))</f>
        <v/>
      </c>
      <c r="F502" s="63"/>
      <c r="G502" s="69"/>
      <c r="H502" s="69"/>
      <c r="I502" s="69"/>
      <c r="J502" s="63"/>
      <c r="K502" s="63"/>
      <c r="L502" s="63"/>
      <c r="M502" s="66" t="str">
        <f aca="false">IF(OR($A502="",$H502&lt;&gt;""),"",Targets!$C$8-$I502)</f>
        <v/>
      </c>
      <c r="N502" s="66" t="str">
        <f aca="false">IF($A502="","",IF(AND($F502="Project",$E502="Active",$M502&lt;&gt;"",$M502&gt;Targets!$C$12),"Yes","No"))</f>
        <v/>
      </c>
      <c r="O502" s="66" t="str">
        <f aca="false">IF($A502="","",IF(AND($G502&gt;=Targets!$C$7,$G502&lt;=Targets!$C$8),"Yes","No"))</f>
        <v/>
      </c>
      <c r="P502" s="66" t="str">
        <f aca="false">IF($A502="","",IF(AND($H502&lt;&gt;"",$H502&gt;=Targets!$C$7,$H502&lt;=Targets!$C$8),"Yes","No"))</f>
        <v/>
      </c>
      <c r="Q502" s="66" t="str">
        <f aca="false">IF($A502="","",IF(AND($F502="Project",$E502&lt;&gt;"Closed",$E502&lt;&gt;"Dormant"),"Yes","No"))</f>
        <v/>
      </c>
      <c r="R502" s="66" t="str">
        <f aca="false">IF($A502="","",IF(AND($L502="In-house",OR($E502="Intake",$E502="Active",$E502="Waiting")),"Yes","No"))</f>
        <v/>
      </c>
      <c r="S502" s="66" t="str">
        <f aca="false">IF($A502="","",$C502&amp;" | "&amp;$D502)</f>
        <v/>
      </c>
      <c r="T502" s="66" t="str">
        <f aca="false">IF($A502="","",IF(AND($L502="Outside provider",OR($E502="Intake",$E502="Active",$E502="Waiting")),"Yes","No"))</f>
        <v/>
      </c>
    </row>
    <row r="503" customFormat="false" ht="15" hidden="false" customHeight="true" outlineLevel="0" collapsed="false">
      <c r="A503" s="67"/>
      <c r="B503" s="67"/>
      <c r="C503" s="67"/>
      <c r="D503" s="67"/>
      <c r="E503" s="67" t="str">
        <f aca="false">IF($A503="","",IFERROR(INDEX('Status map'!$D$6:$D$64,MATCH($C503&amp;" | "&amp;$D503,'Status map'!$I$6:$I$64,0)),"Unmapped"))</f>
        <v/>
      </c>
      <c r="F503" s="67"/>
      <c r="G503" s="70"/>
      <c r="H503" s="70"/>
      <c r="I503" s="70"/>
      <c r="J503" s="67"/>
      <c r="K503" s="67"/>
      <c r="L503" s="67"/>
      <c r="M503" s="66" t="str">
        <f aca="false">IF(OR($A503="",$H503&lt;&gt;""),"",Targets!$C$8-$I503)</f>
        <v/>
      </c>
      <c r="N503" s="66" t="str">
        <f aca="false">IF($A503="","",IF(AND($F503="Project",$E503="Active",$M503&lt;&gt;"",$M503&gt;Targets!$C$12),"Yes","No"))</f>
        <v/>
      </c>
      <c r="O503" s="66" t="str">
        <f aca="false">IF($A503="","",IF(AND($G503&gt;=Targets!$C$7,$G503&lt;=Targets!$C$8),"Yes","No"))</f>
        <v/>
      </c>
      <c r="P503" s="66" t="str">
        <f aca="false">IF($A503="","",IF(AND($H503&lt;&gt;"",$H503&gt;=Targets!$C$7,$H503&lt;=Targets!$C$8),"Yes","No"))</f>
        <v/>
      </c>
      <c r="Q503" s="66" t="str">
        <f aca="false">IF($A503="","",IF(AND($F503="Project",$E503&lt;&gt;"Closed",$E503&lt;&gt;"Dormant"),"Yes","No"))</f>
        <v/>
      </c>
      <c r="R503" s="66" t="str">
        <f aca="false">IF($A503="","",IF(AND($L503="In-house",OR($E503="Intake",$E503="Active",$E503="Waiting")),"Yes","No"))</f>
        <v/>
      </c>
      <c r="S503" s="66" t="str">
        <f aca="false">IF($A503="","",$C503&amp;" | "&amp;$D503)</f>
        <v/>
      </c>
      <c r="T503" s="66" t="str">
        <f aca="false">IF($A503="","",IF(AND($L503="Outside provider",OR($E503="Intake",$E503="Active",$E503="Waiting")),"Yes","No"))</f>
        <v/>
      </c>
    </row>
    <row r="504" customFormat="false" ht="15" hidden="false" customHeight="true" outlineLevel="0" collapsed="false">
      <c r="A504" s="63"/>
      <c r="B504" s="63"/>
      <c r="C504" s="63"/>
      <c r="D504" s="63"/>
      <c r="E504" s="63" t="str">
        <f aca="false">IF($A504="","",IFERROR(INDEX('Status map'!$D$6:$D$64,MATCH($C504&amp;" | "&amp;$D504,'Status map'!$I$6:$I$64,0)),"Unmapped"))</f>
        <v/>
      </c>
      <c r="F504" s="63"/>
      <c r="G504" s="69"/>
      <c r="H504" s="69"/>
      <c r="I504" s="69"/>
      <c r="J504" s="63"/>
      <c r="K504" s="63"/>
      <c r="L504" s="63"/>
      <c r="M504" s="66" t="str">
        <f aca="false">IF(OR($A504="",$H504&lt;&gt;""),"",Targets!$C$8-$I504)</f>
        <v/>
      </c>
      <c r="N504" s="66" t="str">
        <f aca="false">IF($A504="","",IF(AND($F504="Project",$E504="Active",$M504&lt;&gt;"",$M504&gt;Targets!$C$12),"Yes","No"))</f>
        <v/>
      </c>
      <c r="O504" s="66" t="str">
        <f aca="false">IF($A504="","",IF(AND($G504&gt;=Targets!$C$7,$G504&lt;=Targets!$C$8),"Yes","No"))</f>
        <v/>
      </c>
      <c r="P504" s="66" t="str">
        <f aca="false">IF($A504="","",IF(AND($H504&lt;&gt;"",$H504&gt;=Targets!$C$7,$H504&lt;=Targets!$C$8),"Yes","No"))</f>
        <v/>
      </c>
      <c r="Q504" s="66" t="str">
        <f aca="false">IF($A504="","",IF(AND($F504="Project",$E504&lt;&gt;"Closed",$E504&lt;&gt;"Dormant"),"Yes","No"))</f>
        <v/>
      </c>
      <c r="R504" s="66" t="str">
        <f aca="false">IF($A504="","",IF(AND($L504="In-house",OR($E504="Intake",$E504="Active",$E504="Waiting")),"Yes","No"))</f>
        <v/>
      </c>
      <c r="S504" s="66" t="str">
        <f aca="false">IF($A504="","",$C504&amp;" | "&amp;$D504)</f>
        <v/>
      </c>
      <c r="T504" s="66" t="str">
        <f aca="false">IF($A504="","",IF(AND($L504="Outside provider",OR($E504="Intake",$E504="Active",$E504="Waiting")),"Yes","No"))</f>
        <v/>
      </c>
    </row>
    <row r="505" customFormat="false" ht="15" hidden="false" customHeight="true" outlineLevel="0" collapsed="false">
      <c r="A505" s="67"/>
      <c r="B505" s="67"/>
      <c r="C505" s="67"/>
      <c r="D505" s="67"/>
      <c r="E505" s="67" t="str">
        <f aca="false">IF($A505="","",IFERROR(INDEX('Status map'!$D$6:$D$64,MATCH($C505&amp;" | "&amp;$D505,'Status map'!$I$6:$I$64,0)),"Unmapped"))</f>
        <v/>
      </c>
      <c r="F505" s="67"/>
      <c r="G505" s="70"/>
      <c r="H505" s="70"/>
      <c r="I505" s="70"/>
      <c r="J505" s="67"/>
      <c r="K505" s="67"/>
      <c r="L505" s="67"/>
      <c r="M505" s="66" t="str">
        <f aca="false">IF(OR($A505="",$H505&lt;&gt;""),"",Targets!$C$8-$I505)</f>
        <v/>
      </c>
      <c r="N505" s="66" t="str">
        <f aca="false">IF($A505="","",IF(AND($F505="Project",$E505="Active",$M505&lt;&gt;"",$M505&gt;Targets!$C$12),"Yes","No"))</f>
        <v/>
      </c>
      <c r="O505" s="66" t="str">
        <f aca="false">IF($A505="","",IF(AND($G505&gt;=Targets!$C$7,$G505&lt;=Targets!$C$8),"Yes","No"))</f>
        <v/>
      </c>
      <c r="P505" s="66" t="str">
        <f aca="false">IF($A505="","",IF(AND($H505&lt;&gt;"",$H505&gt;=Targets!$C$7,$H505&lt;=Targets!$C$8),"Yes","No"))</f>
        <v/>
      </c>
      <c r="Q505" s="66" t="str">
        <f aca="false">IF($A505="","",IF(AND($F505="Project",$E505&lt;&gt;"Closed",$E505&lt;&gt;"Dormant"),"Yes","No"))</f>
        <v/>
      </c>
      <c r="R505" s="66" t="str">
        <f aca="false">IF($A505="","",IF(AND($L505="In-house",OR($E505="Intake",$E505="Active",$E505="Waiting")),"Yes","No"))</f>
        <v/>
      </c>
      <c r="S505" s="66" t="str">
        <f aca="false">IF($A505="","",$C505&amp;" | "&amp;$D505)</f>
        <v/>
      </c>
      <c r="T505" s="66" t="str">
        <f aca="false">IF($A505="","",IF(AND($L505="Outside provider",OR($E505="Intake",$E505="Active",$E505="Waiting")),"Yes","No"))</f>
        <v/>
      </c>
    </row>
    <row r="506" customFormat="false" ht="15" hidden="false" customHeight="true" outlineLevel="0" collapsed="false">
      <c r="A506" s="63"/>
      <c r="B506" s="63"/>
      <c r="C506" s="63"/>
      <c r="D506" s="63"/>
      <c r="E506" s="63" t="str">
        <f aca="false">IF($A506="","",IFERROR(INDEX('Status map'!$D$6:$D$64,MATCH($C506&amp;" | "&amp;$D506,'Status map'!$I$6:$I$64,0)),"Unmapped"))</f>
        <v/>
      </c>
      <c r="F506" s="63"/>
      <c r="G506" s="69"/>
      <c r="H506" s="69"/>
      <c r="I506" s="69"/>
      <c r="J506" s="63"/>
      <c r="K506" s="63"/>
      <c r="L506" s="63"/>
      <c r="M506" s="66" t="str">
        <f aca="false">IF(OR($A506="",$H506&lt;&gt;""),"",Targets!$C$8-$I506)</f>
        <v/>
      </c>
      <c r="N506" s="66" t="str">
        <f aca="false">IF($A506="","",IF(AND($F506="Project",$E506="Active",$M506&lt;&gt;"",$M506&gt;Targets!$C$12),"Yes","No"))</f>
        <v/>
      </c>
      <c r="O506" s="66" t="str">
        <f aca="false">IF($A506="","",IF(AND($G506&gt;=Targets!$C$7,$G506&lt;=Targets!$C$8),"Yes","No"))</f>
        <v/>
      </c>
      <c r="P506" s="66" t="str">
        <f aca="false">IF($A506="","",IF(AND($H506&lt;&gt;"",$H506&gt;=Targets!$C$7,$H506&lt;=Targets!$C$8),"Yes","No"))</f>
        <v/>
      </c>
      <c r="Q506" s="66" t="str">
        <f aca="false">IF($A506="","",IF(AND($F506="Project",$E506&lt;&gt;"Closed",$E506&lt;&gt;"Dormant"),"Yes","No"))</f>
        <v/>
      </c>
      <c r="R506" s="66" t="str">
        <f aca="false">IF($A506="","",IF(AND($L506="In-house",OR($E506="Intake",$E506="Active",$E506="Waiting")),"Yes","No"))</f>
        <v/>
      </c>
      <c r="S506" s="66" t="str">
        <f aca="false">IF($A506="","",$C506&amp;" | "&amp;$D506)</f>
        <v/>
      </c>
      <c r="T506" s="66" t="str">
        <f aca="false">IF($A506="","",IF(AND($L506="Outside provider",OR($E506="Intake",$E506="Active",$E506="Waiting")),"Yes","No"))</f>
        <v/>
      </c>
    </row>
    <row r="507" customFormat="false" ht="15" hidden="false" customHeight="true" outlineLevel="0" collapsed="false">
      <c r="A507" s="67"/>
      <c r="B507" s="67"/>
      <c r="C507" s="67"/>
      <c r="D507" s="67"/>
      <c r="E507" s="67" t="str">
        <f aca="false">IF($A507="","",IFERROR(INDEX('Status map'!$D$6:$D$64,MATCH($C507&amp;" | "&amp;$D507,'Status map'!$I$6:$I$64,0)),"Unmapped"))</f>
        <v/>
      </c>
      <c r="F507" s="67"/>
      <c r="G507" s="70"/>
      <c r="H507" s="70"/>
      <c r="I507" s="70"/>
      <c r="J507" s="67"/>
      <c r="K507" s="67"/>
      <c r="L507" s="67"/>
      <c r="M507" s="66" t="str">
        <f aca="false">IF(OR($A507="",$H507&lt;&gt;""),"",Targets!$C$8-$I507)</f>
        <v/>
      </c>
      <c r="N507" s="66" t="str">
        <f aca="false">IF($A507="","",IF(AND($F507="Project",$E507="Active",$M507&lt;&gt;"",$M507&gt;Targets!$C$12),"Yes","No"))</f>
        <v/>
      </c>
      <c r="O507" s="66" t="str">
        <f aca="false">IF($A507="","",IF(AND($G507&gt;=Targets!$C$7,$G507&lt;=Targets!$C$8),"Yes","No"))</f>
        <v/>
      </c>
      <c r="P507" s="66" t="str">
        <f aca="false">IF($A507="","",IF(AND($H507&lt;&gt;"",$H507&gt;=Targets!$C$7,$H507&lt;=Targets!$C$8),"Yes","No"))</f>
        <v/>
      </c>
      <c r="Q507" s="66" t="str">
        <f aca="false">IF($A507="","",IF(AND($F507="Project",$E507&lt;&gt;"Closed",$E507&lt;&gt;"Dormant"),"Yes","No"))</f>
        <v/>
      </c>
      <c r="R507" s="66" t="str">
        <f aca="false">IF($A507="","",IF(AND($L507="In-house",OR($E507="Intake",$E507="Active",$E507="Waiting")),"Yes","No"))</f>
        <v/>
      </c>
      <c r="S507" s="66" t="str">
        <f aca="false">IF($A507="","",$C507&amp;" | "&amp;$D507)</f>
        <v/>
      </c>
      <c r="T507" s="66" t="str">
        <f aca="false">IF($A507="","",IF(AND($L507="Outside provider",OR($E507="Intake",$E507="Active",$E507="Waiting")),"Yes","No"))</f>
        <v/>
      </c>
    </row>
    <row r="508" customFormat="false" ht="15" hidden="false" customHeight="true" outlineLevel="0" collapsed="false">
      <c r="A508" s="63"/>
      <c r="B508" s="63"/>
      <c r="C508" s="63"/>
      <c r="D508" s="63"/>
      <c r="E508" s="63" t="str">
        <f aca="false">IF($A508="","",IFERROR(INDEX('Status map'!$D$6:$D$64,MATCH($C508&amp;" | "&amp;$D508,'Status map'!$I$6:$I$64,0)),"Unmapped"))</f>
        <v/>
      </c>
      <c r="F508" s="63"/>
      <c r="G508" s="69"/>
      <c r="H508" s="69"/>
      <c r="I508" s="69"/>
      <c r="J508" s="63"/>
      <c r="K508" s="63"/>
      <c r="L508" s="63"/>
      <c r="M508" s="66" t="str">
        <f aca="false">IF(OR($A508="",$H508&lt;&gt;""),"",Targets!$C$8-$I508)</f>
        <v/>
      </c>
      <c r="N508" s="66" t="str">
        <f aca="false">IF($A508="","",IF(AND($F508="Project",$E508="Active",$M508&lt;&gt;"",$M508&gt;Targets!$C$12),"Yes","No"))</f>
        <v/>
      </c>
      <c r="O508" s="66" t="str">
        <f aca="false">IF($A508="","",IF(AND($G508&gt;=Targets!$C$7,$G508&lt;=Targets!$C$8),"Yes","No"))</f>
        <v/>
      </c>
      <c r="P508" s="66" t="str">
        <f aca="false">IF($A508="","",IF(AND($H508&lt;&gt;"",$H508&gt;=Targets!$C$7,$H508&lt;=Targets!$C$8),"Yes","No"))</f>
        <v/>
      </c>
      <c r="Q508" s="66" t="str">
        <f aca="false">IF($A508="","",IF(AND($F508="Project",$E508&lt;&gt;"Closed",$E508&lt;&gt;"Dormant"),"Yes","No"))</f>
        <v/>
      </c>
      <c r="R508" s="66" t="str">
        <f aca="false">IF($A508="","",IF(AND($L508="In-house",OR($E508="Intake",$E508="Active",$E508="Waiting")),"Yes","No"))</f>
        <v/>
      </c>
      <c r="S508" s="66" t="str">
        <f aca="false">IF($A508="","",$C508&amp;" | "&amp;$D508)</f>
        <v/>
      </c>
      <c r="T508" s="66" t="str">
        <f aca="false">IF($A508="","",IF(AND($L508="Outside provider",OR($E508="Intake",$E508="Active",$E508="Waiting")),"Yes","No"))</f>
        <v/>
      </c>
    </row>
    <row r="509" customFormat="false" ht="15" hidden="false" customHeight="true" outlineLevel="0" collapsed="false">
      <c r="A509" s="67"/>
      <c r="B509" s="67"/>
      <c r="C509" s="67"/>
      <c r="D509" s="67"/>
      <c r="E509" s="67" t="str">
        <f aca="false">IF($A509="","",IFERROR(INDEX('Status map'!$D$6:$D$64,MATCH($C509&amp;" | "&amp;$D509,'Status map'!$I$6:$I$64,0)),"Unmapped"))</f>
        <v/>
      </c>
      <c r="F509" s="67"/>
      <c r="G509" s="70"/>
      <c r="H509" s="70"/>
      <c r="I509" s="70"/>
      <c r="J509" s="67"/>
      <c r="K509" s="67"/>
      <c r="L509" s="67"/>
      <c r="M509" s="66" t="str">
        <f aca="false">IF(OR($A509="",$H509&lt;&gt;""),"",Targets!$C$8-$I509)</f>
        <v/>
      </c>
      <c r="N509" s="66" t="str">
        <f aca="false">IF($A509="","",IF(AND($F509="Project",$E509="Active",$M509&lt;&gt;"",$M509&gt;Targets!$C$12),"Yes","No"))</f>
        <v/>
      </c>
      <c r="O509" s="66" t="str">
        <f aca="false">IF($A509="","",IF(AND($G509&gt;=Targets!$C$7,$G509&lt;=Targets!$C$8),"Yes","No"))</f>
        <v/>
      </c>
      <c r="P509" s="66" t="str">
        <f aca="false">IF($A509="","",IF(AND($H509&lt;&gt;"",$H509&gt;=Targets!$C$7,$H509&lt;=Targets!$C$8),"Yes","No"))</f>
        <v/>
      </c>
      <c r="Q509" s="66" t="str">
        <f aca="false">IF($A509="","",IF(AND($F509="Project",$E509&lt;&gt;"Closed",$E509&lt;&gt;"Dormant"),"Yes","No"))</f>
        <v/>
      </c>
      <c r="R509" s="66" t="str">
        <f aca="false">IF($A509="","",IF(AND($L509="In-house",OR($E509="Intake",$E509="Active",$E509="Waiting")),"Yes","No"))</f>
        <v/>
      </c>
      <c r="S509" s="66" t="str">
        <f aca="false">IF($A509="","",$C509&amp;" | "&amp;$D509)</f>
        <v/>
      </c>
      <c r="T509" s="66" t="str">
        <f aca="false">IF($A509="","",IF(AND($L509="Outside provider",OR($E509="Intake",$E509="Active",$E509="Waiting")),"Yes","No"))</f>
        <v/>
      </c>
    </row>
    <row r="510" customFormat="false" ht="15" hidden="false" customHeight="true" outlineLevel="0" collapsed="false">
      <c r="A510" s="63"/>
      <c r="B510" s="63"/>
      <c r="C510" s="63"/>
      <c r="D510" s="63"/>
      <c r="E510" s="63" t="str">
        <f aca="false">IF($A510="","",IFERROR(INDEX('Status map'!$D$6:$D$64,MATCH($C510&amp;" | "&amp;$D510,'Status map'!$I$6:$I$64,0)),"Unmapped"))</f>
        <v/>
      </c>
      <c r="F510" s="63"/>
      <c r="G510" s="69"/>
      <c r="H510" s="69"/>
      <c r="I510" s="69"/>
      <c r="J510" s="63"/>
      <c r="K510" s="63"/>
      <c r="L510" s="63"/>
      <c r="M510" s="66" t="str">
        <f aca="false">IF(OR($A510="",$H510&lt;&gt;""),"",Targets!$C$8-$I510)</f>
        <v/>
      </c>
      <c r="N510" s="66" t="str">
        <f aca="false">IF($A510="","",IF(AND($F510="Project",$E510="Active",$M510&lt;&gt;"",$M510&gt;Targets!$C$12),"Yes","No"))</f>
        <v/>
      </c>
      <c r="O510" s="66" t="str">
        <f aca="false">IF($A510="","",IF(AND($G510&gt;=Targets!$C$7,$G510&lt;=Targets!$C$8),"Yes","No"))</f>
        <v/>
      </c>
      <c r="P510" s="66" t="str">
        <f aca="false">IF($A510="","",IF(AND($H510&lt;&gt;"",$H510&gt;=Targets!$C$7,$H510&lt;=Targets!$C$8),"Yes","No"))</f>
        <v/>
      </c>
      <c r="Q510" s="66" t="str">
        <f aca="false">IF($A510="","",IF(AND($F510="Project",$E510&lt;&gt;"Closed",$E510&lt;&gt;"Dormant"),"Yes","No"))</f>
        <v/>
      </c>
      <c r="R510" s="66" t="str">
        <f aca="false">IF($A510="","",IF(AND($L510="In-house",OR($E510="Intake",$E510="Active",$E510="Waiting")),"Yes","No"))</f>
        <v/>
      </c>
      <c r="S510" s="66" t="str">
        <f aca="false">IF($A510="","",$C510&amp;" | "&amp;$D510)</f>
        <v/>
      </c>
      <c r="T510" s="66" t="str">
        <f aca="false">IF($A510="","",IF(AND($L510="Outside provider",OR($E510="Intake",$E510="Active",$E510="Waiting")),"Yes","No"))</f>
        <v/>
      </c>
    </row>
    <row r="511" customFormat="false" ht="15" hidden="false" customHeight="true" outlineLevel="0" collapsed="false">
      <c r="A511" s="67"/>
      <c r="B511" s="67"/>
      <c r="C511" s="67"/>
      <c r="D511" s="67"/>
      <c r="E511" s="67" t="str">
        <f aca="false">IF($A511="","",IFERROR(INDEX('Status map'!$D$6:$D$64,MATCH($C511&amp;" | "&amp;$D511,'Status map'!$I$6:$I$64,0)),"Unmapped"))</f>
        <v/>
      </c>
      <c r="F511" s="67"/>
      <c r="G511" s="70"/>
      <c r="H511" s="70"/>
      <c r="I511" s="70"/>
      <c r="J511" s="67"/>
      <c r="K511" s="67"/>
      <c r="L511" s="67"/>
      <c r="M511" s="66" t="str">
        <f aca="false">IF(OR($A511="",$H511&lt;&gt;""),"",Targets!$C$8-$I511)</f>
        <v/>
      </c>
      <c r="N511" s="66" t="str">
        <f aca="false">IF($A511="","",IF(AND($F511="Project",$E511="Active",$M511&lt;&gt;"",$M511&gt;Targets!$C$12),"Yes","No"))</f>
        <v/>
      </c>
      <c r="O511" s="66" t="str">
        <f aca="false">IF($A511="","",IF(AND($G511&gt;=Targets!$C$7,$G511&lt;=Targets!$C$8),"Yes","No"))</f>
        <v/>
      </c>
      <c r="P511" s="66" t="str">
        <f aca="false">IF($A511="","",IF(AND($H511&lt;&gt;"",$H511&gt;=Targets!$C$7,$H511&lt;=Targets!$C$8),"Yes","No"))</f>
        <v/>
      </c>
      <c r="Q511" s="66" t="str">
        <f aca="false">IF($A511="","",IF(AND($F511="Project",$E511&lt;&gt;"Closed",$E511&lt;&gt;"Dormant"),"Yes","No"))</f>
        <v/>
      </c>
      <c r="R511" s="66" t="str">
        <f aca="false">IF($A511="","",IF(AND($L511="In-house",OR($E511="Intake",$E511="Active",$E511="Waiting")),"Yes","No"))</f>
        <v/>
      </c>
      <c r="S511" s="66" t="str">
        <f aca="false">IF($A511="","",$C511&amp;" | "&amp;$D511)</f>
        <v/>
      </c>
      <c r="T511" s="66" t="str">
        <f aca="false">IF($A511="","",IF(AND($L511="Outside provider",OR($E511="Intake",$E511="Active",$E511="Waiting")),"Yes","No"))</f>
        <v/>
      </c>
    </row>
    <row r="512" customFormat="false" ht="15" hidden="false" customHeight="true" outlineLevel="0" collapsed="false">
      <c r="A512" s="63"/>
      <c r="B512" s="63"/>
      <c r="C512" s="63"/>
      <c r="D512" s="63"/>
      <c r="E512" s="63" t="str">
        <f aca="false">IF($A512="","",IFERROR(INDEX('Status map'!$D$6:$D$64,MATCH($C512&amp;" | "&amp;$D512,'Status map'!$I$6:$I$64,0)),"Unmapped"))</f>
        <v/>
      </c>
      <c r="F512" s="63"/>
      <c r="G512" s="69"/>
      <c r="H512" s="69"/>
      <c r="I512" s="69"/>
      <c r="J512" s="63"/>
      <c r="K512" s="63"/>
      <c r="L512" s="63"/>
      <c r="M512" s="66" t="str">
        <f aca="false">IF(OR($A512="",$H512&lt;&gt;""),"",Targets!$C$8-$I512)</f>
        <v/>
      </c>
      <c r="N512" s="66" t="str">
        <f aca="false">IF($A512="","",IF(AND($F512="Project",$E512="Active",$M512&lt;&gt;"",$M512&gt;Targets!$C$12),"Yes","No"))</f>
        <v/>
      </c>
      <c r="O512" s="66" t="str">
        <f aca="false">IF($A512="","",IF(AND($G512&gt;=Targets!$C$7,$G512&lt;=Targets!$C$8),"Yes","No"))</f>
        <v/>
      </c>
      <c r="P512" s="66" t="str">
        <f aca="false">IF($A512="","",IF(AND($H512&lt;&gt;"",$H512&gt;=Targets!$C$7,$H512&lt;=Targets!$C$8),"Yes","No"))</f>
        <v/>
      </c>
      <c r="Q512" s="66" t="str">
        <f aca="false">IF($A512="","",IF(AND($F512="Project",$E512&lt;&gt;"Closed",$E512&lt;&gt;"Dormant"),"Yes","No"))</f>
        <v/>
      </c>
      <c r="R512" s="66" t="str">
        <f aca="false">IF($A512="","",IF(AND($L512="In-house",OR($E512="Intake",$E512="Active",$E512="Waiting")),"Yes","No"))</f>
        <v/>
      </c>
      <c r="S512" s="66" t="str">
        <f aca="false">IF($A512="","",$C512&amp;" | "&amp;$D512)</f>
        <v/>
      </c>
      <c r="T512" s="66" t="str">
        <f aca="false">IF($A512="","",IF(AND($L512="Outside provider",OR($E512="Intake",$E512="Active",$E512="Waiting")),"Yes","No"))</f>
        <v/>
      </c>
    </row>
    <row r="513" customFormat="false" ht="15" hidden="false" customHeight="true" outlineLevel="0" collapsed="false">
      <c r="A513" s="67"/>
      <c r="B513" s="67"/>
      <c r="C513" s="67"/>
      <c r="D513" s="67"/>
      <c r="E513" s="67" t="str">
        <f aca="false">IF($A513="","",IFERROR(INDEX('Status map'!$D$6:$D$64,MATCH($C513&amp;" | "&amp;$D513,'Status map'!$I$6:$I$64,0)),"Unmapped"))</f>
        <v/>
      </c>
      <c r="F513" s="67"/>
      <c r="G513" s="70"/>
      <c r="H513" s="70"/>
      <c r="I513" s="70"/>
      <c r="J513" s="67"/>
      <c r="K513" s="67"/>
      <c r="L513" s="67"/>
      <c r="M513" s="66" t="str">
        <f aca="false">IF(OR($A513="",$H513&lt;&gt;""),"",Targets!$C$8-$I513)</f>
        <v/>
      </c>
      <c r="N513" s="66" t="str">
        <f aca="false">IF($A513="","",IF(AND($F513="Project",$E513="Active",$M513&lt;&gt;"",$M513&gt;Targets!$C$12),"Yes","No"))</f>
        <v/>
      </c>
      <c r="O513" s="66" t="str">
        <f aca="false">IF($A513="","",IF(AND($G513&gt;=Targets!$C$7,$G513&lt;=Targets!$C$8),"Yes","No"))</f>
        <v/>
      </c>
      <c r="P513" s="66" t="str">
        <f aca="false">IF($A513="","",IF(AND($H513&lt;&gt;"",$H513&gt;=Targets!$C$7,$H513&lt;=Targets!$C$8),"Yes","No"))</f>
        <v/>
      </c>
      <c r="Q513" s="66" t="str">
        <f aca="false">IF($A513="","",IF(AND($F513="Project",$E513&lt;&gt;"Closed",$E513&lt;&gt;"Dormant"),"Yes","No"))</f>
        <v/>
      </c>
      <c r="R513" s="66" t="str">
        <f aca="false">IF($A513="","",IF(AND($L513="In-house",OR($E513="Intake",$E513="Active",$E513="Waiting")),"Yes","No"))</f>
        <v/>
      </c>
      <c r="S513" s="66" t="str">
        <f aca="false">IF($A513="","",$C513&amp;" | "&amp;$D513)</f>
        <v/>
      </c>
      <c r="T513" s="66" t="str">
        <f aca="false">IF($A513="","",IF(AND($L513="Outside provider",OR($E513="Intake",$E513="Active",$E513="Waiting")),"Yes","No"))</f>
        <v/>
      </c>
    </row>
    <row r="514" customFormat="false" ht="15" hidden="false" customHeight="true" outlineLevel="0" collapsed="false">
      <c r="A514" s="63"/>
      <c r="B514" s="63"/>
      <c r="C514" s="63"/>
      <c r="D514" s="63"/>
      <c r="E514" s="63" t="str">
        <f aca="false">IF($A514="","",IFERROR(INDEX('Status map'!$D$6:$D$64,MATCH($C514&amp;" | "&amp;$D514,'Status map'!$I$6:$I$64,0)),"Unmapped"))</f>
        <v/>
      </c>
      <c r="F514" s="63"/>
      <c r="G514" s="69"/>
      <c r="H514" s="69"/>
      <c r="I514" s="69"/>
      <c r="J514" s="63"/>
      <c r="K514" s="63"/>
      <c r="L514" s="63"/>
      <c r="M514" s="66" t="str">
        <f aca="false">IF(OR($A514="",$H514&lt;&gt;""),"",Targets!$C$8-$I514)</f>
        <v/>
      </c>
      <c r="N514" s="66" t="str">
        <f aca="false">IF($A514="","",IF(AND($F514="Project",$E514="Active",$M514&lt;&gt;"",$M514&gt;Targets!$C$12),"Yes","No"))</f>
        <v/>
      </c>
      <c r="O514" s="66" t="str">
        <f aca="false">IF($A514="","",IF(AND($G514&gt;=Targets!$C$7,$G514&lt;=Targets!$C$8),"Yes","No"))</f>
        <v/>
      </c>
      <c r="P514" s="66" t="str">
        <f aca="false">IF($A514="","",IF(AND($H514&lt;&gt;"",$H514&gt;=Targets!$C$7,$H514&lt;=Targets!$C$8),"Yes","No"))</f>
        <v/>
      </c>
      <c r="Q514" s="66" t="str">
        <f aca="false">IF($A514="","",IF(AND($F514="Project",$E514&lt;&gt;"Closed",$E514&lt;&gt;"Dormant"),"Yes","No"))</f>
        <v/>
      </c>
      <c r="R514" s="66" t="str">
        <f aca="false">IF($A514="","",IF(AND($L514="In-house",OR($E514="Intake",$E514="Active",$E514="Waiting")),"Yes","No"))</f>
        <v/>
      </c>
      <c r="S514" s="66" t="str">
        <f aca="false">IF($A514="","",$C514&amp;" | "&amp;$D514)</f>
        <v/>
      </c>
      <c r="T514" s="66" t="str">
        <f aca="false">IF($A514="","",IF(AND($L514="Outside provider",OR($E514="Intake",$E514="Active",$E514="Waiting")),"Yes","No"))</f>
        <v/>
      </c>
    </row>
    <row r="515" customFormat="false" ht="15" hidden="false" customHeight="true" outlineLevel="0" collapsed="false">
      <c r="A515" s="67"/>
      <c r="B515" s="67"/>
      <c r="C515" s="67"/>
      <c r="D515" s="67"/>
      <c r="E515" s="67" t="str">
        <f aca="false">IF($A515="","",IFERROR(INDEX('Status map'!$D$6:$D$64,MATCH($C515&amp;" | "&amp;$D515,'Status map'!$I$6:$I$64,0)),"Unmapped"))</f>
        <v/>
      </c>
      <c r="F515" s="67"/>
      <c r="G515" s="70"/>
      <c r="H515" s="70"/>
      <c r="I515" s="70"/>
      <c r="J515" s="67"/>
      <c r="K515" s="67"/>
      <c r="L515" s="67"/>
      <c r="M515" s="66" t="str">
        <f aca="false">IF(OR($A515="",$H515&lt;&gt;""),"",Targets!$C$8-$I515)</f>
        <v/>
      </c>
      <c r="N515" s="66" t="str">
        <f aca="false">IF($A515="","",IF(AND($F515="Project",$E515="Active",$M515&lt;&gt;"",$M515&gt;Targets!$C$12),"Yes","No"))</f>
        <v/>
      </c>
      <c r="O515" s="66" t="str">
        <f aca="false">IF($A515="","",IF(AND($G515&gt;=Targets!$C$7,$G515&lt;=Targets!$C$8),"Yes","No"))</f>
        <v/>
      </c>
      <c r="P515" s="66" t="str">
        <f aca="false">IF($A515="","",IF(AND($H515&lt;&gt;"",$H515&gt;=Targets!$C$7,$H515&lt;=Targets!$C$8),"Yes","No"))</f>
        <v/>
      </c>
      <c r="Q515" s="66" t="str">
        <f aca="false">IF($A515="","",IF(AND($F515="Project",$E515&lt;&gt;"Closed",$E515&lt;&gt;"Dormant"),"Yes","No"))</f>
        <v/>
      </c>
      <c r="R515" s="66" t="str">
        <f aca="false">IF($A515="","",IF(AND($L515="In-house",OR($E515="Intake",$E515="Active",$E515="Waiting")),"Yes","No"))</f>
        <v/>
      </c>
      <c r="S515" s="66" t="str">
        <f aca="false">IF($A515="","",$C515&amp;" | "&amp;$D515)</f>
        <v/>
      </c>
      <c r="T515" s="66" t="str">
        <f aca="false">IF($A515="","",IF(AND($L515="Outside provider",OR($E515="Intake",$E515="Active",$E515="Waiting")),"Yes","No"))</f>
        <v/>
      </c>
    </row>
    <row r="516" customFormat="false" ht="15" hidden="false" customHeight="true" outlineLevel="0" collapsed="false">
      <c r="A516" s="63"/>
      <c r="B516" s="63"/>
      <c r="C516" s="63"/>
      <c r="D516" s="63"/>
      <c r="E516" s="63" t="str">
        <f aca="false">IF($A516="","",IFERROR(INDEX('Status map'!$D$6:$D$64,MATCH($C516&amp;" | "&amp;$D516,'Status map'!$I$6:$I$64,0)),"Unmapped"))</f>
        <v/>
      </c>
      <c r="F516" s="63"/>
      <c r="G516" s="69"/>
      <c r="H516" s="69"/>
      <c r="I516" s="69"/>
      <c r="J516" s="63"/>
      <c r="K516" s="63"/>
      <c r="L516" s="63"/>
      <c r="M516" s="66" t="str">
        <f aca="false">IF(OR($A516="",$H516&lt;&gt;""),"",Targets!$C$8-$I516)</f>
        <v/>
      </c>
      <c r="N516" s="66" t="str">
        <f aca="false">IF($A516="","",IF(AND($F516="Project",$E516="Active",$M516&lt;&gt;"",$M516&gt;Targets!$C$12),"Yes","No"))</f>
        <v/>
      </c>
      <c r="O516" s="66" t="str">
        <f aca="false">IF($A516="","",IF(AND($G516&gt;=Targets!$C$7,$G516&lt;=Targets!$C$8),"Yes","No"))</f>
        <v/>
      </c>
      <c r="P516" s="66" t="str">
        <f aca="false">IF($A516="","",IF(AND($H516&lt;&gt;"",$H516&gt;=Targets!$C$7,$H516&lt;=Targets!$C$8),"Yes","No"))</f>
        <v/>
      </c>
      <c r="Q516" s="66" t="str">
        <f aca="false">IF($A516="","",IF(AND($F516="Project",$E516&lt;&gt;"Closed",$E516&lt;&gt;"Dormant"),"Yes","No"))</f>
        <v/>
      </c>
      <c r="R516" s="66" t="str">
        <f aca="false">IF($A516="","",IF(AND($L516="In-house",OR($E516="Intake",$E516="Active",$E516="Waiting")),"Yes","No"))</f>
        <v/>
      </c>
      <c r="S516" s="66" t="str">
        <f aca="false">IF($A516="","",$C516&amp;" | "&amp;$D516)</f>
        <v/>
      </c>
      <c r="T516" s="66" t="str">
        <f aca="false">IF($A516="","",IF(AND($L516="Outside provider",OR($E516="Intake",$E516="Active",$E516="Waiting")),"Yes","No"))</f>
        <v/>
      </c>
    </row>
    <row r="517" customFormat="false" ht="15" hidden="false" customHeight="true" outlineLevel="0" collapsed="false">
      <c r="A517" s="67"/>
      <c r="B517" s="67"/>
      <c r="C517" s="67"/>
      <c r="D517" s="67"/>
      <c r="E517" s="67" t="str">
        <f aca="false">IF($A517="","",IFERROR(INDEX('Status map'!$D$6:$D$64,MATCH($C517&amp;" | "&amp;$D517,'Status map'!$I$6:$I$64,0)),"Unmapped"))</f>
        <v/>
      </c>
      <c r="F517" s="67"/>
      <c r="G517" s="70"/>
      <c r="H517" s="70"/>
      <c r="I517" s="70"/>
      <c r="J517" s="67"/>
      <c r="K517" s="67"/>
      <c r="L517" s="67"/>
      <c r="M517" s="66" t="str">
        <f aca="false">IF(OR($A517="",$H517&lt;&gt;""),"",Targets!$C$8-$I517)</f>
        <v/>
      </c>
      <c r="N517" s="66" t="str">
        <f aca="false">IF($A517="","",IF(AND($F517="Project",$E517="Active",$M517&lt;&gt;"",$M517&gt;Targets!$C$12),"Yes","No"))</f>
        <v/>
      </c>
      <c r="O517" s="66" t="str">
        <f aca="false">IF($A517="","",IF(AND($G517&gt;=Targets!$C$7,$G517&lt;=Targets!$C$8),"Yes","No"))</f>
        <v/>
      </c>
      <c r="P517" s="66" t="str">
        <f aca="false">IF($A517="","",IF(AND($H517&lt;&gt;"",$H517&gt;=Targets!$C$7,$H517&lt;=Targets!$C$8),"Yes","No"))</f>
        <v/>
      </c>
      <c r="Q517" s="66" t="str">
        <f aca="false">IF($A517="","",IF(AND($F517="Project",$E517&lt;&gt;"Closed",$E517&lt;&gt;"Dormant"),"Yes","No"))</f>
        <v/>
      </c>
      <c r="R517" s="66" t="str">
        <f aca="false">IF($A517="","",IF(AND($L517="In-house",OR($E517="Intake",$E517="Active",$E517="Waiting")),"Yes","No"))</f>
        <v/>
      </c>
      <c r="S517" s="66" t="str">
        <f aca="false">IF($A517="","",$C517&amp;" | "&amp;$D517)</f>
        <v/>
      </c>
      <c r="T517" s="66" t="str">
        <f aca="false">IF($A517="","",IF(AND($L517="Outside provider",OR($E517="Intake",$E517="Active",$E517="Waiting")),"Yes","No"))</f>
        <v/>
      </c>
    </row>
    <row r="518" customFormat="false" ht="15" hidden="false" customHeight="true" outlineLevel="0" collapsed="false">
      <c r="A518" s="63"/>
      <c r="B518" s="63"/>
      <c r="C518" s="63"/>
      <c r="D518" s="63"/>
      <c r="E518" s="63" t="str">
        <f aca="false">IF($A518="","",IFERROR(INDEX('Status map'!$D$6:$D$64,MATCH($C518&amp;" | "&amp;$D518,'Status map'!$I$6:$I$64,0)),"Unmapped"))</f>
        <v/>
      </c>
      <c r="F518" s="63"/>
      <c r="G518" s="69"/>
      <c r="H518" s="69"/>
      <c r="I518" s="69"/>
      <c r="J518" s="63"/>
      <c r="K518" s="63"/>
      <c r="L518" s="63"/>
      <c r="M518" s="66" t="str">
        <f aca="false">IF(OR($A518="",$H518&lt;&gt;""),"",Targets!$C$8-$I518)</f>
        <v/>
      </c>
      <c r="N518" s="66" t="str">
        <f aca="false">IF($A518="","",IF(AND($F518="Project",$E518="Active",$M518&lt;&gt;"",$M518&gt;Targets!$C$12),"Yes","No"))</f>
        <v/>
      </c>
      <c r="O518" s="66" t="str">
        <f aca="false">IF($A518="","",IF(AND($G518&gt;=Targets!$C$7,$G518&lt;=Targets!$C$8),"Yes","No"))</f>
        <v/>
      </c>
      <c r="P518" s="66" t="str">
        <f aca="false">IF($A518="","",IF(AND($H518&lt;&gt;"",$H518&gt;=Targets!$C$7,$H518&lt;=Targets!$C$8),"Yes","No"))</f>
        <v/>
      </c>
      <c r="Q518" s="66" t="str">
        <f aca="false">IF($A518="","",IF(AND($F518="Project",$E518&lt;&gt;"Closed",$E518&lt;&gt;"Dormant"),"Yes","No"))</f>
        <v/>
      </c>
      <c r="R518" s="66" t="str">
        <f aca="false">IF($A518="","",IF(AND($L518="In-house",OR($E518="Intake",$E518="Active",$E518="Waiting")),"Yes","No"))</f>
        <v/>
      </c>
      <c r="S518" s="66" t="str">
        <f aca="false">IF($A518="","",$C518&amp;" | "&amp;$D518)</f>
        <v/>
      </c>
      <c r="T518" s="66" t="str">
        <f aca="false">IF($A518="","",IF(AND($L518="Outside provider",OR($E518="Intake",$E518="Active",$E518="Waiting")),"Yes","No"))</f>
        <v/>
      </c>
    </row>
    <row r="519" customFormat="false" ht="15" hidden="false" customHeight="true" outlineLevel="0" collapsed="false">
      <c r="A519" s="67"/>
      <c r="B519" s="67"/>
      <c r="C519" s="67"/>
      <c r="D519" s="67"/>
      <c r="E519" s="67" t="str">
        <f aca="false">IF($A519="","",IFERROR(INDEX('Status map'!$D$6:$D$64,MATCH($C519&amp;" | "&amp;$D519,'Status map'!$I$6:$I$64,0)),"Unmapped"))</f>
        <v/>
      </c>
      <c r="F519" s="67"/>
      <c r="G519" s="70"/>
      <c r="H519" s="70"/>
      <c r="I519" s="70"/>
      <c r="J519" s="67"/>
      <c r="K519" s="67"/>
      <c r="L519" s="67"/>
      <c r="M519" s="66" t="str">
        <f aca="false">IF(OR($A519="",$H519&lt;&gt;""),"",Targets!$C$8-$I519)</f>
        <v/>
      </c>
      <c r="N519" s="66" t="str">
        <f aca="false">IF($A519="","",IF(AND($F519="Project",$E519="Active",$M519&lt;&gt;"",$M519&gt;Targets!$C$12),"Yes","No"))</f>
        <v/>
      </c>
      <c r="O519" s="66" t="str">
        <f aca="false">IF($A519="","",IF(AND($G519&gt;=Targets!$C$7,$G519&lt;=Targets!$C$8),"Yes","No"))</f>
        <v/>
      </c>
      <c r="P519" s="66" t="str">
        <f aca="false">IF($A519="","",IF(AND($H519&lt;&gt;"",$H519&gt;=Targets!$C$7,$H519&lt;=Targets!$C$8),"Yes","No"))</f>
        <v/>
      </c>
      <c r="Q519" s="66" t="str">
        <f aca="false">IF($A519="","",IF(AND($F519="Project",$E519&lt;&gt;"Closed",$E519&lt;&gt;"Dormant"),"Yes","No"))</f>
        <v/>
      </c>
      <c r="R519" s="66" t="str">
        <f aca="false">IF($A519="","",IF(AND($L519="In-house",OR($E519="Intake",$E519="Active",$E519="Waiting")),"Yes","No"))</f>
        <v/>
      </c>
      <c r="S519" s="66" t="str">
        <f aca="false">IF($A519="","",$C519&amp;" | "&amp;$D519)</f>
        <v/>
      </c>
      <c r="T519" s="66" t="str">
        <f aca="false">IF($A519="","",IF(AND($L519="Outside provider",OR($E519="Intake",$E519="Active",$E519="Waiting")),"Yes","No"))</f>
        <v/>
      </c>
    </row>
    <row r="520" customFormat="false" ht="15" hidden="false" customHeight="true" outlineLevel="0" collapsed="false">
      <c r="A520" s="63"/>
      <c r="B520" s="63"/>
      <c r="C520" s="63"/>
      <c r="D520" s="63"/>
      <c r="E520" s="63" t="str">
        <f aca="false">IF($A520="","",IFERROR(INDEX('Status map'!$D$6:$D$64,MATCH($C520&amp;" | "&amp;$D520,'Status map'!$I$6:$I$64,0)),"Unmapped"))</f>
        <v/>
      </c>
      <c r="F520" s="63"/>
      <c r="G520" s="69"/>
      <c r="H520" s="69"/>
      <c r="I520" s="69"/>
      <c r="J520" s="63"/>
      <c r="K520" s="63"/>
      <c r="L520" s="63"/>
      <c r="M520" s="66" t="str">
        <f aca="false">IF(OR($A520="",$H520&lt;&gt;""),"",Targets!$C$8-$I520)</f>
        <v/>
      </c>
      <c r="N520" s="66" t="str">
        <f aca="false">IF($A520="","",IF(AND($F520="Project",$E520="Active",$M520&lt;&gt;"",$M520&gt;Targets!$C$12),"Yes","No"))</f>
        <v/>
      </c>
      <c r="O520" s="66" t="str">
        <f aca="false">IF($A520="","",IF(AND($G520&gt;=Targets!$C$7,$G520&lt;=Targets!$C$8),"Yes","No"))</f>
        <v/>
      </c>
      <c r="P520" s="66" t="str">
        <f aca="false">IF($A520="","",IF(AND($H520&lt;&gt;"",$H520&gt;=Targets!$C$7,$H520&lt;=Targets!$C$8),"Yes","No"))</f>
        <v/>
      </c>
      <c r="Q520" s="66" t="str">
        <f aca="false">IF($A520="","",IF(AND($F520="Project",$E520&lt;&gt;"Closed",$E520&lt;&gt;"Dormant"),"Yes","No"))</f>
        <v/>
      </c>
      <c r="R520" s="66" t="str">
        <f aca="false">IF($A520="","",IF(AND($L520="In-house",OR($E520="Intake",$E520="Active",$E520="Waiting")),"Yes","No"))</f>
        <v/>
      </c>
      <c r="S520" s="66" t="str">
        <f aca="false">IF($A520="","",$C520&amp;" | "&amp;$D520)</f>
        <v/>
      </c>
      <c r="T520" s="66" t="str">
        <f aca="false">IF($A520="","",IF(AND($L520="Outside provider",OR($E520="Intake",$E520="Active",$E520="Waiting")),"Yes","No"))</f>
        <v/>
      </c>
    </row>
    <row r="521" customFormat="false" ht="15" hidden="false" customHeight="true" outlineLevel="0" collapsed="false">
      <c r="A521" s="67"/>
      <c r="B521" s="67"/>
      <c r="C521" s="67"/>
      <c r="D521" s="67"/>
      <c r="E521" s="67" t="str">
        <f aca="false">IF($A521="","",IFERROR(INDEX('Status map'!$D$6:$D$64,MATCH($C521&amp;" | "&amp;$D521,'Status map'!$I$6:$I$64,0)),"Unmapped"))</f>
        <v/>
      </c>
      <c r="F521" s="67"/>
      <c r="G521" s="70"/>
      <c r="H521" s="70"/>
      <c r="I521" s="70"/>
      <c r="J521" s="67"/>
      <c r="K521" s="67"/>
      <c r="L521" s="67"/>
      <c r="M521" s="66" t="str">
        <f aca="false">IF(OR($A521="",$H521&lt;&gt;""),"",Targets!$C$8-$I521)</f>
        <v/>
      </c>
      <c r="N521" s="66" t="str">
        <f aca="false">IF($A521="","",IF(AND($F521="Project",$E521="Active",$M521&lt;&gt;"",$M521&gt;Targets!$C$12),"Yes","No"))</f>
        <v/>
      </c>
      <c r="O521" s="66" t="str">
        <f aca="false">IF($A521="","",IF(AND($G521&gt;=Targets!$C$7,$G521&lt;=Targets!$C$8),"Yes","No"))</f>
        <v/>
      </c>
      <c r="P521" s="66" t="str">
        <f aca="false">IF($A521="","",IF(AND($H521&lt;&gt;"",$H521&gt;=Targets!$C$7,$H521&lt;=Targets!$C$8),"Yes","No"))</f>
        <v/>
      </c>
      <c r="Q521" s="66" t="str">
        <f aca="false">IF($A521="","",IF(AND($F521="Project",$E521&lt;&gt;"Closed",$E521&lt;&gt;"Dormant"),"Yes","No"))</f>
        <v/>
      </c>
      <c r="R521" s="66" t="str">
        <f aca="false">IF($A521="","",IF(AND($L521="In-house",OR($E521="Intake",$E521="Active",$E521="Waiting")),"Yes","No"))</f>
        <v/>
      </c>
      <c r="S521" s="66" t="str">
        <f aca="false">IF($A521="","",$C521&amp;" | "&amp;$D521)</f>
        <v/>
      </c>
      <c r="T521" s="66" t="str">
        <f aca="false">IF($A521="","",IF(AND($L521="Outside provider",OR($E521="Intake",$E521="Active",$E521="Waiting")),"Yes","No"))</f>
        <v/>
      </c>
    </row>
    <row r="522" customFormat="false" ht="15" hidden="false" customHeight="true" outlineLevel="0" collapsed="false">
      <c r="A522" s="63"/>
      <c r="B522" s="63"/>
      <c r="C522" s="63"/>
      <c r="D522" s="63"/>
      <c r="E522" s="63" t="str">
        <f aca="false">IF($A522="","",IFERROR(INDEX('Status map'!$D$6:$D$64,MATCH($C522&amp;" | "&amp;$D522,'Status map'!$I$6:$I$64,0)),"Unmapped"))</f>
        <v/>
      </c>
      <c r="F522" s="63"/>
      <c r="G522" s="69"/>
      <c r="H522" s="69"/>
      <c r="I522" s="69"/>
      <c r="J522" s="63"/>
      <c r="K522" s="63"/>
      <c r="L522" s="63"/>
      <c r="M522" s="66" t="str">
        <f aca="false">IF(OR($A522="",$H522&lt;&gt;""),"",Targets!$C$8-$I522)</f>
        <v/>
      </c>
      <c r="N522" s="66" t="str">
        <f aca="false">IF($A522="","",IF(AND($F522="Project",$E522="Active",$M522&lt;&gt;"",$M522&gt;Targets!$C$12),"Yes","No"))</f>
        <v/>
      </c>
      <c r="O522" s="66" t="str">
        <f aca="false">IF($A522="","",IF(AND($G522&gt;=Targets!$C$7,$G522&lt;=Targets!$C$8),"Yes","No"))</f>
        <v/>
      </c>
      <c r="P522" s="66" t="str">
        <f aca="false">IF($A522="","",IF(AND($H522&lt;&gt;"",$H522&gt;=Targets!$C$7,$H522&lt;=Targets!$C$8),"Yes","No"))</f>
        <v/>
      </c>
      <c r="Q522" s="66" t="str">
        <f aca="false">IF($A522="","",IF(AND($F522="Project",$E522&lt;&gt;"Closed",$E522&lt;&gt;"Dormant"),"Yes","No"))</f>
        <v/>
      </c>
      <c r="R522" s="66" t="str">
        <f aca="false">IF($A522="","",IF(AND($L522="In-house",OR($E522="Intake",$E522="Active",$E522="Waiting")),"Yes","No"))</f>
        <v/>
      </c>
      <c r="S522" s="66" t="str">
        <f aca="false">IF($A522="","",$C522&amp;" | "&amp;$D522)</f>
        <v/>
      </c>
      <c r="T522" s="66" t="str">
        <f aca="false">IF($A522="","",IF(AND($L522="Outside provider",OR($E522="Intake",$E522="Active",$E522="Waiting")),"Yes","No"))</f>
        <v/>
      </c>
    </row>
    <row r="523" customFormat="false" ht="15" hidden="false" customHeight="true" outlineLevel="0" collapsed="false">
      <c r="A523" s="67"/>
      <c r="B523" s="67"/>
      <c r="C523" s="67"/>
      <c r="D523" s="67"/>
      <c r="E523" s="67" t="str">
        <f aca="false">IF($A523="","",IFERROR(INDEX('Status map'!$D$6:$D$64,MATCH($C523&amp;" | "&amp;$D523,'Status map'!$I$6:$I$64,0)),"Unmapped"))</f>
        <v/>
      </c>
      <c r="F523" s="67"/>
      <c r="G523" s="70"/>
      <c r="H523" s="70"/>
      <c r="I523" s="70"/>
      <c r="J523" s="67"/>
      <c r="K523" s="67"/>
      <c r="L523" s="67"/>
      <c r="M523" s="66" t="str">
        <f aca="false">IF(OR($A523="",$H523&lt;&gt;""),"",Targets!$C$8-$I523)</f>
        <v/>
      </c>
      <c r="N523" s="66" t="str">
        <f aca="false">IF($A523="","",IF(AND($F523="Project",$E523="Active",$M523&lt;&gt;"",$M523&gt;Targets!$C$12),"Yes","No"))</f>
        <v/>
      </c>
      <c r="O523" s="66" t="str">
        <f aca="false">IF($A523="","",IF(AND($G523&gt;=Targets!$C$7,$G523&lt;=Targets!$C$8),"Yes","No"))</f>
        <v/>
      </c>
      <c r="P523" s="66" t="str">
        <f aca="false">IF($A523="","",IF(AND($H523&lt;&gt;"",$H523&gt;=Targets!$C$7,$H523&lt;=Targets!$C$8),"Yes","No"))</f>
        <v/>
      </c>
      <c r="Q523" s="66" t="str">
        <f aca="false">IF($A523="","",IF(AND($F523="Project",$E523&lt;&gt;"Closed",$E523&lt;&gt;"Dormant"),"Yes","No"))</f>
        <v/>
      </c>
      <c r="R523" s="66" t="str">
        <f aca="false">IF($A523="","",IF(AND($L523="In-house",OR($E523="Intake",$E523="Active",$E523="Waiting")),"Yes","No"))</f>
        <v/>
      </c>
      <c r="S523" s="66" t="str">
        <f aca="false">IF($A523="","",$C523&amp;" | "&amp;$D523)</f>
        <v/>
      </c>
      <c r="T523" s="66" t="str">
        <f aca="false">IF($A523="","",IF(AND($L523="Outside provider",OR($E523="Intake",$E523="Active",$E523="Waiting")),"Yes","No"))</f>
        <v/>
      </c>
    </row>
    <row r="524" customFormat="false" ht="15" hidden="false" customHeight="true" outlineLevel="0" collapsed="false">
      <c r="A524" s="63"/>
      <c r="B524" s="63"/>
      <c r="C524" s="63"/>
      <c r="D524" s="63"/>
      <c r="E524" s="63" t="str">
        <f aca="false">IF($A524="","",IFERROR(INDEX('Status map'!$D$6:$D$64,MATCH($C524&amp;" | "&amp;$D524,'Status map'!$I$6:$I$64,0)),"Unmapped"))</f>
        <v/>
      </c>
      <c r="F524" s="63"/>
      <c r="G524" s="69"/>
      <c r="H524" s="69"/>
      <c r="I524" s="69"/>
      <c r="J524" s="63"/>
      <c r="K524" s="63"/>
      <c r="L524" s="63"/>
      <c r="M524" s="66" t="str">
        <f aca="false">IF(OR($A524="",$H524&lt;&gt;""),"",Targets!$C$8-$I524)</f>
        <v/>
      </c>
      <c r="N524" s="66" t="str">
        <f aca="false">IF($A524="","",IF(AND($F524="Project",$E524="Active",$M524&lt;&gt;"",$M524&gt;Targets!$C$12),"Yes","No"))</f>
        <v/>
      </c>
      <c r="O524" s="66" t="str">
        <f aca="false">IF($A524="","",IF(AND($G524&gt;=Targets!$C$7,$G524&lt;=Targets!$C$8),"Yes","No"))</f>
        <v/>
      </c>
      <c r="P524" s="66" t="str">
        <f aca="false">IF($A524="","",IF(AND($H524&lt;&gt;"",$H524&gt;=Targets!$C$7,$H524&lt;=Targets!$C$8),"Yes","No"))</f>
        <v/>
      </c>
      <c r="Q524" s="66" t="str">
        <f aca="false">IF($A524="","",IF(AND($F524="Project",$E524&lt;&gt;"Closed",$E524&lt;&gt;"Dormant"),"Yes","No"))</f>
        <v/>
      </c>
      <c r="R524" s="66" t="str">
        <f aca="false">IF($A524="","",IF(AND($L524="In-house",OR($E524="Intake",$E524="Active",$E524="Waiting")),"Yes","No"))</f>
        <v/>
      </c>
      <c r="S524" s="66" t="str">
        <f aca="false">IF($A524="","",$C524&amp;" | "&amp;$D524)</f>
        <v/>
      </c>
      <c r="T524" s="66" t="str">
        <f aca="false">IF($A524="","",IF(AND($L524="Outside provider",OR($E524="Intake",$E524="Active",$E524="Waiting")),"Yes","No"))</f>
        <v/>
      </c>
    </row>
    <row r="525" customFormat="false" ht="15" hidden="false" customHeight="true" outlineLevel="0" collapsed="false">
      <c r="A525" s="67"/>
      <c r="B525" s="67"/>
      <c r="C525" s="67"/>
      <c r="D525" s="67"/>
      <c r="E525" s="67" t="str">
        <f aca="false">IF($A525="","",IFERROR(INDEX('Status map'!$D$6:$D$64,MATCH($C525&amp;" | "&amp;$D525,'Status map'!$I$6:$I$64,0)),"Unmapped"))</f>
        <v/>
      </c>
      <c r="F525" s="67"/>
      <c r="G525" s="70"/>
      <c r="H525" s="70"/>
      <c r="I525" s="70"/>
      <c r="J525" s="67"/>
      <c r="K525" s="67"/>
      <c r="L525" s="67"/>
      <c r="M525" s="66" t="str">
        <f aca="false">IF(OR($A525="",$H525&lt;&gt;""),"",Targets!$C$8-$I525)</f>
        <v/>
      </c>
      <c r="N525" s="66" t="str">
        <f aca="false">IF($A525="","",IF(AND($F525="Project",$E525="Active",$M525&lt;&gt;"",$M525&gt;Targets!$C$12),"Yes","No"))</f>
        <v/>
      </c>
      <c r="O525" s="66" t="str">
        <f aca="false">IF($A525="","",IF(AND($G525&gt;=Targets!$C$7,$G525&lt;=Targets!$C$8),"Yes","No"))</f>
        <v/>
      </c>
      <c r="P525" s="66" t="str">
        <f aca="false">IF($A525="","",IF(AND($H525&lt;&gt;"",$H525&gt;=Targets!$C$7,$H525&lt;=Targets!$C$8),"Yes","No"))</f>
        <v/>
      </c>
      <c r="Q525" s="66" t="str">
        <f aca="false">IF($A525="","",IF(AND($F525="Project",$E525&lt;&gt;"Closed",$E525&lt;&gt;"Dormant"),"Yes","No"))</f>
        <v/>
      </c>
      <c r="R525" s="66" t="str">
        <f aca="false">IF($A525="","",IF(AND($L525="In-house",OR($E525="Intake",$E525="Active",$E525="Waiting")),"Yes","No"))</f>
        <v/>
      </c>
      <c r="S525" s="66" t="str">
        <f aca="false">IF($A525="","",$C525&amp;" | "&amp;$D525)</f>
        <v/>
      </c>
      <c r="T525" s="66" t="str">
        <f aca="false">IF($A525="","",IF(AND($L525="Outside provider",OR($E525="Intake",$E525="Active",$E525="Waiting")),"Yes","No"))</f>
        <v/>
      </c>
    </row>
    <row r="526" customFormat="false" ht="15" hidden="false" customHeight="true" outlineLevel="0" collapsed="false">
      <c r="A526" s="63"/>
      <c r="B526" s="63"/>
      <c r="C526" s="63"/>
      <c r="D526" s="63"/>
      <c r="E526" s="63" t="str">
        <f aca="false">IF($A526="","",IFERROR(INDEX('Status map'!$D$6:$D$64,MATCH($C526&amp;" | "&amp;$D526,'Status map'!$I$6:$I$64,0)),"Unmapped"))</f>
        <v/>
      </c>
      <c r="F526" s="63"/>
      <c r="G526" s="69"/>
      <c r="H526" s="69"/>
      <c r="I526" s="69"/>
      <c r="J526" s="63"/>
      <c r="K526" s="63"/>
      <c r="L526" s="63"/>
      <c r="M526" s="66" t="str">
        <f aca="false">IF(OR($A526="",$H526&lt;&gt;""),"",Targets!$C$8-$I526)</f>
        <v/>
      </c>
      <c r="N526" s="66" t="str">
        <f aca="false">IF($A526="","",IF(AND($F526="Project",$E526="Active",$M526&lt;&gt;"",$M526&gt;Targets!$C$12),"Yes","No"))</f>
        <v/>
      </c>
      <c r="O526" s="66" t="str">
        <f aca="false">IF($A526="","",IF(AND($G526&gt;=Targets!$C$7,$G526&lt;=Targets!$C$8),"Yes","No"))</f>
        <v/>
      </c>
      <c r="P526" s="66" t="str">
        <f aca="false">IF($A526="","",IF(AND($H526&lt;&gt;"",$H526&gt;=Targets!$C$7,$H526&lt;=Targets!$C$8),"Yes","No"))</f>
        <v/>
      </c>
      <c r="Q526" s="66" t="str">
        <f aca="false">IF($A526="","",IF(AND($F526="Project",$E526&lt;&gt;"Closed",$E526&lt;&gt;"Dormant"),"Yes","No"))</f>
        <v/>
      </c>
      <c r="R526" s="66" t="str">
        <f aca="false">IF($A526="","",IF(AND($L526="In-house",OR($E526="Intake",$E526="Active",$E526="Waiting")),"Yes","No"))</f>
        <v/>
      </c>
      <c r="S526" s="66" t="str">
        <f aca="false">IF($A526="","",$C526&amp;" | "&amp;$D526)</f>
        <v/>
      </c>
      <c r="T526" s="66" t="str">
        <f aca="false">IF($A526="","",IF(AND($L526="Outside provider",OR($E526="Intake",$E526="Active",$E526="Waiting")),"Yes","No"))</f>
        <v/>
      </c>
    </row>
    <row r="527" customFormat="false" ht="15" hidden="false" customHeight="true" outlineLevel="0" collapsed="false">
      <c r="A527" s="67"/>
      <c r="B527" s="67"/>
      <c r="C527" s="67"/>
      <c r="D527" s="67"/>
      <c r="E527" s="67" t="str">
        <f aca="false">IF($A527="","",IFERROR(INDEX('Status map'!$D$6:$D$64,MATCH($C527&amp;" | "&amp;$D527,'Status map'!$I$6:$I$64,0)),"Unmapped"))</f>
        <v/>
      </c>
      <c r="F527" s="67"/>
      <c r="G527" s="70"/>
      <c r="H527" s="70"/>
      <c r="I527" s="70"/>
      <c r="J527" s="67"/>
      <c r="K527" s="67"/>
      <c r="L527" s="67"/>
      <c r="M527" s="66" t="str">
        <f aca="false">IF(OR($A527="",$H527&lt;&gt;""),"",Targets!$C$8-$I527)</f>
        <v/>
      </c>
      <c r="N527" s="66" t="str">
        <f aca="false">IF($A527="","",IF(AND($F527="Project",$E527="Active",$M527&lt;&gt;"",$M527&gt;Targets!$C$12),"Yes","No"))</f>
        <v/>
      </c>
      <c r="O527" s="66" t="str">
        <f aca="false">IF($A527="","",IF(AND($G527&gt;=Targets!$C$7,$G527&lt;=Targets!$C$8),"Yes","No"))</f>
        <v/>
      </c>
      <c r="P527" s="66" t="str">
        <f aca="false">IF($A527="","",IF(AND($H527&lt;&gt;"",$H527&gt;=Targets!$C$7,$H527&lt;=Targets!$C$8),"Yes","No"))</f>
        <v/>
      </c>
      <c r="Q527" s="66" t="str">
        <f aca="false">IF($A527="","",IF(AND($F527="Project",$E527&lt;&gt;"Closed",$E527&lt;&gt;"Dormant"),"Yes","No"))</f>
        <v/>
      </c>
      <c r="R527" s="66" t="str">
        <f aca="false">IF($A527="","",IF(AND($L527="In-house",OR($E527="Intake",$E527="Active",$E527="Waiting")),"Yes","No"))</f>
        <v/>
      </c>
      <c r="S527" s="66" t="str">
        <f aca="false">IF($A527="","",$C527&amp;" | "&amp;$D527)</f>
        <v/>
      </c>
      <c r="T527" s="66" t="str">
        <f aca="false">IF($A527="","",IF(AND($L527="Outside provider",OR($E527="Intake",$E527="Active",$E527="Waiting")),"Yes","No"))</f>
        <v/>
      </c>
    </row>
    <row r="528" customFormat="false" ht="15" hidden="false" customHeight="true" outlineLevel="0" collapsed="false">
      <c r="A528" s="63"/>
      <c r="B528" s="63"/>
      <c r="C528" s="63"/>
      <c r="D528" s="63"/>
      <c r="E528" s="63" t="str">
        <f aca="false">IF($A528="","",IFERROR(INDEX('Status map'!$D$6:$D$64,MATCH($C528&amp;" | "&amp;$D528,'Status map'!$I$6:$I$64,0)),"Unmapped"))</f>
        <v/>
      </c>
      <c r="F528" s="63"/>
      <c r="G528" s="69"/>
      <c r="H528" s="69"/>
      <c r="I528" s="69"/>
      <c r="J528" s="63"/>
      <c r="K528" s="63"/>
      <c r="L528" s="63"/>
      <c r="M528" s="66" t="str">
        <f aca="false">IF(OR($A528="",$H528&lt;&gt;""),"",Targets!$C$8-$I528)</f>
        <v/>
      </c>
      <c r="N528" s="66" t="str">
        <f aca="false">IF($A528="","",IF(AND($F528="Project",$E528="Active",$M528&lt;&gt;"",$M528&gt;Targets!$C$12),"Yes","No"))</f>
        <v/>
      </c>
      <c r="O528" s="66" t="str">
        <f aca="false">IF($A528="","",IF(AND($G528&gt;=Targets!$C$7,$G528&lt;=Targets!$C$8),"Yes","No"))</f>
        <v/>
      </c>
      <c r="P528" s="66" t="str">
        <f aca="false">IF($A528="","",IF(AND($H528&lt;&gt;"",$H528&gt;=Targets!$C$7,$H528&lt;=Targets!$C$8),"Yes","No"))</f>
        <v/>
      </c>
      <c r="Q528" s="66" t="str">
        <f aca="false">IF($A528="","",IF(AND($F528="Project",$E528&lt;&gt;"Closed",$E528&lt;&gt;"Dormant"),"Yes","No"))</f>
        <v/>
      </c>
      <c r="R528" s="66" t="str">
        <f aca="false">IF($A528="","",IF(AND($L528="In-house",OR($E528="Intake",$E528="Active",$E528="Waiting")),"Yes","No"))</f>
        <v/>
      </c>
      <c r="S528" s="66" t="str">
        <f aca="false">IF($A528="","",$C528&amp;" | "&amp;$D528)</f>
        <v/>
      </c>
      <c r="T528" s="66" t="str">
        <f aca="false">IF($A528="","",IF(AND($L528="Outside provider",OR($E528="Intake",$E528="Active",$E528="Waiting")),"Yes","No"))</f>
        <v/>
      </c>
    </row>
    <row r="529" customFormat="false" ht="15" hidden="false" customHeight="true" outlineLevel="0" collapsed="false">
      <c r="A529" s="67"/>
      <c r="B529" s="67"/>
      <c r="C529" s="67"/>
      <c r="D529" s="67"/>
      <c r="E529" s="67" t="str">
        <f aca="false">IF($A529="","",IFERROR(INDEX('Status map'!$D$6:$D$64,MATCH($C529&amp;" | "&amp;$D529,'Status map'!$I$6:$I$64,0)),"Unmapped"))</f>
        <v/>
      </c>
      <c r="F529" s="67"/>
      <c r="G529" s="70"/>
      <c r="H529" s="70"/>
      <c r="I529" s="70"/>
      <c r="J529" s="67"/>
      <c r="K529" s="67"/>
      <c r="L529" s="67"/>
      <c r="M529" s="66" t="str">
        <f aca="false">IF(OR($A529="",$H529&lt;&gt;""),"",Targets!$C$8-$I529)</f>
        <v/>
      </c>
      <c r="N529" s="66" t="str">
        <f aca="false">IF($A529="","",IF(AND($F529="Project",$E529="Active",$M529&lt;&gt;"",$M529&gt;Targets!$C$12),"Yes","No"))</f>
        <v/>
      </c>
      <c r="O529" s="66" t="str">
        <f aca="false">IF($A529="","",IF(AND($G529&gt;=Targets!$C$7,$G529&lt;=Targets!$C$8),"Yes","No"))</f>
        <v/>
      </c>
      <c r="P529" s="66" t="str">
        <f aca="false">IF($A529="","",IF(AND($H529&lt;&gt;"",$H529&gt;=Targets!$C$7,$H529&lt;=Targets!$C$8),"Yes","No"))</f>
        <v/>
      </c>
      <c r="Q529" s="66" t="str">
        <f aca="false">IF($A529="","",IF(AND($F529="Project",$E529&lt;&gt;"Closed",$E529&lt;&gt;"Dormant"),"Yes","No"))</f>
        <v/>
      </c>
      <c r="R529" s="66" t="str">
        <f aca="false">IF($A529="","",IF(AND($L529="In-house",OR($E529="Intake",$E529="Active",$E529="Waiting")),"Yes","No"))</f>
        <v/>
      </c>
      <c r="S529" s="66" t="str">
        <f aca="false">IF($A529="","",$C529&amp;" | "&amp;$D529)</f>
        <v/>
      </c>
      <c r="T529" s="66" t="str">
        <f aca="false">IF($A529="","",IF(AND($L529="Outside provider",OR($E529="Intake",$E529="Active",$E529="Waiting")),"Yes","No"))</f>
        <v/>
      </c>
    </row>
    <row r="530" customFormat="false" ht="15" hidden="false" customHeight="true" outlineLevel="0" collapsed="false">
      <c r="A530" s="63"/>
      <c r="B530" s="63"/>
      <c r="C530" s="63"/>
      <c r="D530" s="63"/>
      <c r="E530" s="63" t="str">
        <f aca="false">IF($A530="","",IFERROR(INDEX('Status map'!$D$6:$D$64,MATCH($C530&amp;" | "&amp;$D530,'Status map'!$I$6:$I$64,0)),"Unmapped"))</f>
        <v/>
      </c>
      <c r="F530" s="63"/>
      <c r="G530" s="69"/>
      <c r="H530" s="69"/>
      <c r="I530" s="69"/>
      <c r="J530" s="63"/>
      <c r="K530" s="63"/>
      <c r="L530" s="63"/>
      <c r="M530" s="66" t="str">
        <f aca="false">IF(OR($A530="",$H530&lt;&gt;""),"",Targets!$C$8-$I530)</f>
        <v/>
      </c>
      <c r="N530" s="66" t="str">
        <f aca="false">IF($A530="","",IF(AND($F530="Project",$E530="Active",$M530&lt;&gt;"",$M530&gt;Targets!$C$12),"Yes","No"))</f>
        <v/>
      </c>
      <c r="O530" s="66" t="str">
        <f aca="false">IF($A530="","",IF(AND($G530&gt;=Targets!$C$7,$G530&lt;=Targets!$C$8),"Yes","No"))</f>
        <v/>
      </c>
      <c r="P530" s="66" t="str">
        <f aca="false">IF($A530="","",IF(AND($H530&lt;&gt;"",$H530&gt;=Targets!$C$7,$H530&lt;=Targets!$C$8),"Yes","No"))</f>
        <v/>
      </c>
      <c r="Q530" s="66" t="str">
        <f aca="false">IF($A530="","",IF(AND($F530="Project",$E530&lt;&gt;"Closed",$E530&lt;&gt;"Dormant"),"Yes","No"))</f>
        <v/>
      </c>
      <c r="R530" s="66" t="str">
        <f aca="false">IF($A530="","",IF(AND($L530="In-house",OR($E530="Intake",$E530="Active",$E530="Waiting")),"Yes","No"))</f>
        <v/>
      </c>
      <c r="S530" s="66" t="str">
        <f aca="false">IF($A530="","",$C530&amp;" | "&amp;$D530)</f>
        <v/>
      </c>
      <c r="T530" s="66" t="str">
        <f aca="false">IF($A530="","",IF(AND($L530="Outside provider",OR($E530="Intake",$E530="Active",$E530="Waiting")),"Yes","No"))</f>
        <v/>
      </c>
    </row>
    <row r="531" customFormat="false" ht="15" hidden="false" customHeight="true" outlineLevel="0" collapsed="false">
      <c r="A531" s="67"/>
      <c r="B531" s="67"/>
      <c r="C531" s="67"/>
      <c r="D531" s="67"/>
      <c r="E531" s="67" t="str">
        <f aca="false">IF($A531="","",IFERROR(INDEX('Status map'!$D$6:$D$64,MATCH($C531&amp;" | "&amp;$D531,'Status map'!$I$6:$I$64,0)),"Unmapped"))</f>
        <v/>
      </c>
      <c r="F531" s="67"/>
      <c r="G531" s="70"/>
      <c r="H531" s="70"/>
      <c r="I531" s="70"/>
      <c r="J531" s="67"/>
      <c r="K531" s="67"/>
      <c r="L531" s="67"/>
      <c r="M531" s="66" t="str">
        <f aca="false">IF(OR($A531="",$H531&lt;&gt;""),"",Targets!$C$8-$I531)</f>
        <v/>
      </c>
      <c r="N531" s="66" t="str">
        <f aca="false">IF($A531="","",IF(AND($F531="Project",$E531="Active",$M531&lt;&gt;"",$M531&gt;Targets!$C$12),"Yes","No"))</f>
        <v/>
      </c>
      <c r="O531" s="66" t="str">
        <f aca="false">IF($A531="","",IF(AND($G531&gt;=Targets!$C$7,$G531&lt;=Targets!$C$8),"Yes","No"))</f>
        <v/>
      </c>
      <c r="P531" s="66" t="str">
        <f aca="false">IF($A531="","",IF(AND($H531&lt;&gt;"",$H531&gt;=Targets!$C$7,$H531&lt;=Targets!$C$8),"Yes","No"))</f>
        <v/>
      </c>
      <c r="Q531" s="66" t="str">
        <f aca="false">IF($A531="","",IF(AND($F531="Project",$E531&lt;&gt;"Closed",$E531&lt;&gt;"Dormant"),"Yes","No"))</f>
        <v/>
      </c>
      <c r="R531" s="66" t="str">
        <f aca="false">IF($A531="","",IF(AND($L531="In-house",OR($E531="Intake",$E531="Active",$E531="Waiting")),"Yes","No"))</f>
        <v/>
      </c>
      <c r="S531" s="66" t="str">
        <f aca="false">IF($A531="","",$C531&amp;" | "&amp;$D531)</f>
        <v/>
      </c>
      <c r="T531" s="66" t="str">
        <f aca="false">IF($A531="","",IF(AND($L531="Outside provider",OR($E531="Intake",$E531="Active",$E531="Waiting")),"Yes","No"))</f>
        <v/>
      </c>
    </row>
    <row r="532" customFormat="false" ht="15" hidden="false" customHeight="true" outlineLevel="0" collapsed="false">
      <c r="A532" s="63"/>
      <c r="B532" s="63"/>
      <c r="C532" s="63"/>
      <c r="D532" s="63"/>
      <c r="E532" s="63" t="str">
        <f aca="false">IF($A532="","",IFERROR(INDEX('Status map'!$D$6:$D$64,MATCH($C532&amp;" | "&amp;$D532,'Status map'!$I$6:$I$64,0)),"Unmapped"))</f>
        <v/>
      </c>
      <c r="F532" s="63"/>
      <c r="G532" s="69"/>
      <c r="H532" s="69"/>
      <c r="I532" s="69"/>
      <c r="J532" s="63"/>
      <c r="K532" s="63"/>
      <c r="L532" s="63"/>
      <c r="M532" s="66" t="str">
        <f aca="false">IF(OR($A532="",$H532&lt;&gt;""),"",Targets!$C$8-$I532)</f>
        <v/>
      </c>
      <c r="N532" s="66" t="str">
        <f aca="false">IF($A532="","",IF(AND($F532="Project",$E532="Active",$M532&lt;&gt;"",$M532&gt;Targets!$C$12),"Yes","No"))</f>
        <v/>
      </c>
      <c r="O532" s="66" t="str">
        <f aca="false">IF($A532="","",IF(AND($G532&gt;=Targets!$C$7,$G532&lt;=Targets!$C$8),"Yes","No"))</f>
        <v/>
      </c>
      <c r="P532" s="66" t="str">
        <f aca="false">IF($A532="","",IF(AND($H532&lt;&gt;"",$H532&gt;=Targets!$C$7,$H532&lt;=Targets!$C$8),"Yes","No"))</f>
        <v/>
      </c>
      <c r="Q532" s="66" t="str">
        <f aca="false">IF($A532="","",IF(AND($F532="Project",$E532&lt;&gt;"Closed",$E532&lt;&gt;"Dormant"),"Yes","No"))</f>
        <v/>
      </c>
      <c r="R532" s="66" t="str">
        <f aca="false">IF($A532="","",IF(AND($L532="In-house",OR($E532="Intake",$E532="Active",$E532="Waiting")),"Yes","No"))</f>
        <v/>
      </c>
      <c r="S532" s="66" t="str">
        <f aca="false">IF($A532="","",$C532&amp;" | "&amp;$D532)</f>
        <v/>
      </c>
      <c r="T532" s="66" t="str">
        <f aca="false">IF($A532="","",IF(AND($L532="Outside provider",OR($E532="Intake",$E532="Active",$E532="Waiting")),"Yes","No"))</f>
        <v/>
      </c>
    </row>
    <row r="533" customFormat="false" ht="15" hidden="false" customHeight="true" outlineLevel="0" collapsed="false">
      <c r="A533" s="67"/>
      <c r="B533" s="67"/>
      <c r="C533" s="67"/>
      <c r="D533" s="67"/>
      <c r="E533" s="67" t="str">
        <f aca="false">IF($A533="","",IFERROR(INDEX('Status map'!$D$6:$D$64,MATCH($C533&amp;" | "&amp;$D533,'Status map'!$I$6:$I$64,0)),"Unmapped"))</f>
        <v/>
      </c>
      <c r="F533" s="67"/>
      <c r="G533" s="70"/>
      <c r="H533" s="70"/>
      <c r="I533" s="70"/>
      <c r="J533" s="67"/>
      <c r="K533" s="67"/>
      <c r="L533" s="67"/>
      <c r="M533" s="66" t="str">
        <f aca="false">IF(OR($A533="",$H533&lt;&gt;""),"",Targets!$C$8-$I533)</f>
        <v/>
      </c>
      <c r="N533" s="66" t="str">
        <f aca="false">IF($A533="","",IF(AND($F533="Project",$E533="Active",$M533&lt;&gt;"",$M533&gt;Targets!$C$12),"Yes","No"))</f>
        <v/>
      </c>
      <c r="O533" s="66" t="str">
        <f aca="false">IF($A533="","",IF(AND($G533&gt;=Targets!$C$7,$G533&lt;=Targets!$C$8),"Yes","No"))</f>
        <v/>
      </c>
      <c r="P533" s="66" t="str">
        <f aca="false">IF($A533="","",IF(AND($H533&lt;&gt;"",$H533&gt;=Targets!$C$7,$H533&lt;=Targets!$C$8),"Yes","No"))</f>
        <v/>
      </c>
      <c r="Q533" s="66" t="str">
        <f aca="false">IF($A533="","",IF(AND($F533="Project",$E533&lt;&gt;"Closed",$E533&lt;&gt;"Dormant"),"Yes","No"))</f>
        <v/>
      </c>
      <c r="R533" s="66" t="str">
        <f aca="false">IF($A533="","",IF(AND($L533="In-house",OR($E533="Intake",$E533="Active",$E533="Waiting")),"Yes","No"))</f>
        <v/>
      </c>
      <c r="S533" s="66" t="str">
        <f aca="false">IF($A533="","",$C533&amp;" | "&amp;$D533)</f>
        <v/>
      </c>
      <c r="T533" s="66" t="str">
        <f aca="false">IF($A533="","",IF(AND($L533="Outside provider",OR($E533="Intake",$E533="Active",$E533="Waiting")),"Yes","No"))</f>
        <v/>
      </c>
    </row>
    <row r="534" customFormat="false" ht="15" hidden="false" customHeight="true" outlineLevel="0" collapsed="false">
      <c r="A534" s="63"/>
      <c r="B534" s="63"/>
      <c r="C534" s="63"/>
      <c r="D534" s="63"/>
      <c r="E534" s="63" t="str">
        <f aca="false">IF($A534="","",IFERROR(INDEX('Status map'!$D$6:$D$64,MATCH($C534&amp;" | "&amp;$D534,'Status map'!$I$6:$I$64,0)),"Unmapped"))</f>
        <v/>
      </c>
      <c r="F534" s="63"/>
      <c r="G534" s="69"/>
      <c r="H534" s="69"/>
      <c r="I534" s="69"/>
      <c r="J534" s="63"/>
      <c r="K534" s="63"/>
      <c r="L534" s="63"/>
      <c r="M534" s="66" t="str">
        <f aca="false">IF(OR($A534="",$H534&lt;&gt;""),"",Targets!$C$8-$I534)</f>
        <v/>
      </c>
      <c r="N534" s="66" t="str">
        <f aca="false">IF($A534="","",IF(AND($F534="Project",$E534="Active",$M534&lt;&gt;"",$M534&gt;Targets!$C$12),"Yes","No"))</f>
        <v/>
      </c>
      <c r="O534" s="66" t="str">
        <f aca="false">IF($A534="","",IF(AND($G534&gt;=Targets!$C$7,$G534&lt;=Targets!$C$8),"Yes","No"))</f>
        <v/>
      </c>
      <c r="P534" s="66" t="str">
        <f aca="false">IF($A534="","",IF(AND($H534&lt;&gt;"",$H534&gt;=Targets!$C$7,$H534&lt;=Targets!$C$8),"Yes","No"))</f>
        <v/>
      </c>
      <c r="Q534" s="66" t="str">
        <f aca="false">IF($A534="","",IF(AND($F534="Project",$E534&lt;&gt;"Closed",$E534&lt;&gt;"Dormant"),"Yes","No"))</f>
        <v/>
      </c>
      <c r="R534" s="66" t="str">
        <f aca="false">IF($A534="","",IF(AND($L534="In-house",OR($E534="Intake",$E534="Active",$E534="Waiting")),"Yes","No"))</f>
        <v/>
      </c>
      <c r="S534" s="66" t="str">
        <f aca="false">IF($A534="","",$C534&amp;" | "&amp;$D534)</f>
        <v/>
      </c>
      <c r="T534" s="66" t="str">
        <f aca="false">IF($A534="","",IF(AND($L534="Outside provider",OR($E534="Intake",$E534="Active",$E534="Waiting")),"Yes","No"))</f>
        <v/>
      </c>
    </row>
    <row r="535" customFormat="false" ht="15" hidden="false" customHeight="true" outlineLevel="0" collapsed="false">
      <c r="A535" s="67"/>
      <c r="B535" s="67"/>
      <c r="C535" s="67"/>
      <c r="D535" s="67"/>
      <c r="E535" s="67" t="str">
        <f aca="false">IF($A535="","",IFERROR(INDEX('Status map'!$D$6:$D$64,MATCH($C535&amp;" | "&amp;$D535,'Status map'!$I$6:$I$64,0)),"Unmapped"))</f>
        <v/>
      </c>
      <c r="F535" s="67"/>
      <c r="G535" s="70"/>
      <c r="H535" s="70"/>
      <c r="I535" s="70"/>
      <c r="J535" s="67"/>
      <c r="K535" s="67"/>
      <c r="L535" s="67"/>
      <c r="M535" s="66" t="str">
        <f aca="false">IF(OR($A535="",$H535&lt;&gt;""),"",Targets!$C$8-$I535)</f>
        <v/>
      </c>
      <c r="N535" s="66" t="str">
        <f aca="false">IF($A535="","",IF(AND($F535="Project",$E535="Active",$M535&lt;&gt;"",$M535&gt;Targets!$C$12),"Yes","No"))</f>
        <v/>
      </c>
      <c r="O535" s="66" t="str">
        <f aca="false">IF($A535="","",IF(AND($G535&gt;=Targets!$C$7,$G535&lt;=Targets!$C$8),"Yes","No"))</f>
        <v/>
      </c>
      <c r="P535" s="66" t="str">
        <f aca="false">IF($A535="","",IF(AND($H535&lt;&gt;"",$H535&gt;=Targets!$C$7,$H535&lt;=Targets!$C$8),"Yes","No"))</f>
        <v/>
      </c>
      <c r="Q535" s="66" t="str">
        <f aca="false">IF($A535="","",IF(AND($F535="Project",$E535&lt;&gt;"Closed",$E535&lt;&gt;"Dormant"),"Yes","No"))</f>
        <v/>
      </c>
      <c r="R535" s="66" t="str">
        <f aca="false">IF($A535="","",IF(AND($L535="In-house",OR($E535="Intake",$E535="Active",$E535="Waiting")),"Yes","No"))</f>
        <v/>
      </c>
      <c r="S535" s="66" t="str">
        <f aca="false">IF($A535="","",$C535&amp;" | "&amp;$D535)</f>
        <v/>
      </c>
      <c r="T535" s="66" t="str">
        <f aca="false">IF($A535="","",IF(AND($L535="Outside provider",OR($E535="Intake",$E535="Active",$E535="Waiting")),"Yes","No"))</f>
        <v/>
      </c>
    </row>
    <row r="536" customFormat="false" ht="15" hidden="false" customHeight="true" outlineLevel="0" collapsed="false">
      <c r="A536" s="63"/>
      <c r="B536" s="63"/>
      <c r="C536" s="63"/>
      <c r="D536" s="63"/>
      <c r="E536" s="63" t="str">
        <f aca="false">IF($A536="","",IFERROR(INDEX('Status map'!$D$6:$D$64,MATCH($C536&amp;" | "&amp;$D536,'Status map'!$I$6:$I$64,0)),"Unmapped"))</f>
        <v/>
      </c>
      <c r="F536" s="63"/>
      <c r="G536" s="69"/>
      <c r="H536" s="69"/>
      <c r="I536" s="69"/>
      <c r="J536" s="63"/>
      <c r="K536" s="63"/>
      <c r="L536" s="63"/>
      <c r="M536" s="66" t="str">
        <f aca="false">IF(OR($A536="",$H536&lt;&gt;""),"",Targets!$C$8-$I536)</f>
        <v/>
      </c>
      <c r="N536" s="66" t="str">
        <f aca="false">IF($A536="","",IF(AND($F536="Project",$E536="Active",$M536&lt;&gt;"",$M536&gt;Targets!$C$12),"Yes","No"))</f>
        <v/>
      </c>
      <c r="O536" s="66" t="str">
        <f aca="false">IF($A536="","",IF(AND($G536&gt;=Targets!$C$7,$G536&lt;=Targets!$C$8),"Yes","No"))</f>
        <v/>
      </c>
      <c r="P536" s="66" t="str">
        <f aca="false">IF($A536="","",IF(AND($H536&lt;&gt;"",$H536&gt;=Targets!$C$7,$H536&lt;=Targets!$C$8),"Yes","No"))</f>
        <v/>
      </c>
      <c r="Q536" s="66" t="str">
        <f aca="false">IF($A536="","",IF(AND($F536="Project",$E536&lt;&gt;"Closed",$E536&lt;&gt;"Dormant"),"Yes","No"))</f>
        <v/>
      </c>
      <c r="R536" s="66" t="str">
        <f aca="false">IF($A536="","",IF(AND($L536="In-house",OR($E536="Intake",$E536="Active",$E536="Waiting")),"Yes","No"))</f>
        <v/>
      </c>
      <c r="S536" s="66" t="str">
        <f aca="false">IF($A536="","",$C536&amp;" | "&amp;$D536)</f>
        <v/>
      </c>
      <c r="T536" s="66" t="str">
        <f aca="false">IF($A536="","",IF(AND($L536="Outside provider",OR($E536="Intake",$E536="Active",$E536="Waiting")),"Yes","No"))</f>
        <v/>
      </c>
    </row>
    <row r="537" customFormat="false" ht="15" hidden="false" customHeight="true" outlineLevel="0" collapsed="false">
      <c r="A537" s="67"/>
      <c r="B537" s="67"/>
      <c r="C537" s="67"/>
      <c r="D537" s="67"/>
      <c r="E537" s="67" t="str">
        <f aca="false">IF($A537="","",IFERROR(INDEX('Status map'!$D$6:$D$64,MATCH($C537&amp;" | "&amp;$D537,'Status map'!$I$6:$I$64,0)),"Unmapped"))</f>
        <v/>
      </c>
      <c r="F537" s="67"/>
      <c r="G537" s="70"/>
      <c r="H537" s="70"/>
      <c r="I537" s="70"/>
      <c r="J537" s="67"/>
      <c r="K537" s="67"/>
      <c r="L537" s="67"/>
      <c r="M537" s="66" t="str">
        <f aca="false">IF(OR($A537="",$H537&lt;&gt;""),"",Targets!$C$8-$I537)</f>
        <v/>
      </c>
      <c r="N537" s="66" t="str">
        <f aca="false">IF($A537="","",IF(AND($F537="Project",$E537="Active",$M537&lt;&gt;"",$M537&gt;Targets!$C$12),"Yes","No"))</f>
        <v/>
      </c>
      <c r="O537" s="66" t="str">
        <f aca="false">IF($A537="","",IF(AND($G537&gt;=Targets!$C$7,$G537&lt;=Targets!$C$8),"Yes","No"))</f>
        <v/>
      </c>
      <c r="P537" s="66" t="str">
        <f aca="false">IF($A537="","",IF(AND($H537&lt;&gt;"",$H537&gt;=Targets!$C$7,$H537&lt;=Targets!$C$8),"Yes","No"))</f>
        <v/>
      </c>
      <c r="Q537" s="66" t="str">
        <f aca="false">IF($A537="","",IF(AND($F537="Project",$E537&lt;&gt;"Closed",$E537&lt;&gt;"Dormant"),"Yes","No"))</f>
        <v/>
      </c>
      <c r="R537" s="66" t="str">
        <f aca="false">IF($A537="","",IF(AND($L537="In-house",OR($E537="Intake",$E537="Active",$E537="Waiting")),"Yes","No"))</f>
        <v/>
      </c>
      <c r="S537" s="66" t="str">
        <f aca="false">IF($A537="","",$C537&amp;" | "&amp;$D537)</f>
        <v/>
      </c>
      <c r="T537" s="66" t="str">
        <f aca="false">IF($A537="","",IF(AND($L537="Outside provider",OR($E537="Intake",$E537="Active",$E537="Waiting")),"Yes","No"))</f>
        <v/>
      </c>
    </row>
    <row r="538" customFormat="false" ht="15" hidden="false" customHeight="true" outlineLevel="0" collapsed="false">
      <c r="A538" s="63"/>
      <c r="B538" s="63"/>
      <c r="C538" s="63"/>
      <c r="D538" s="63"/>
      <c r="E538" s="63" t="str">
        <f aca="false">IF($A538="","",IFERROR(INDEX('Status map'!$D$6:$D$64,MATCH($C538&amp;" | "&amp;$D538,'Status map'!$I$6:$I$64,0)),"Unmapped"))</f>
        <v/>
      </c>
      <c r="F538" s="63"/>
      <c r="G538" s="69"/>
      <c r="H538" s="69"/>
      <c r="I538" s="69"/>
      <c r="J538" s="63"/>
      <c r="K538" s="63"/>
      <c r="L538" s="63"/>
      <c r="M538" s="66" t="str">
        <f aca="false">IF(OR($A538="",$H538&lt;&gt;""),"",Targets!$C$8-$I538)</f>
        <v/>
      </c>
      <c r="N538" s="66" t="str">
        <f aca="false">IF($A538="","",IF(AND($F538="Project",$E538="Active",$M538&lt;&gt;"",$M538&gt;Targets!$C$12),"Yes","No"))</f>
        <v/>
      </c>
      <c r="O538" s="66" t="str">
        <f aca="false">IF($A538="","",IF(AND($G538&gt;=Targets!$C$7,$G538&lt;=Targets!$C$8),"Yes","No"))</f>
        <v/>
      </c>
      <c r="P538" s="66" t="str">
        <f aca="false">IF($A538="","",IF(AND($H538&lt;&gt;"",$H538&gt;=Targets!$C$7,$H538&lt;=Targets!$C$8),"Yes","No"))</f>
        <v/>
      </c>
      <c r="Q538" s="66" t="str">
        <f aca="false">IF($A538="","",IF(AND($F538="Project",$E538&lt;&gt;"Closed",$E538&lt;&gt;"Dormant"),"Yes","No"))</f>
        <v/>
      </c>
      <c r="R538" s="66" t="str">
        <f aca="false">IF($A538="","",IF(AND($L538="In-house",OR($E538="Intake",$E538="Active",$E538="Waiting")),"Yes","No"))</f>
        <v/>
      </c>
      <c r="S538" s="66" t="str">
        <f aca="false">IF($A538="","",$C538&amp;" | "&amp;$D538)</f>
        <v/>
      </c>
      <c r="T538" s="66" t="str">
        <f aca="false">IF($A538="","",IF(AND($L538="Outside provider",OR($E538="Intake",$E538="Active",$E538="Waiting")),"Yes","No"))</f>
        <v/>
      </c>
    </row>
    <row r="539" customFormat="false" ht="15" hidden="false" customHeight="true" outlineLevel="0" collapsed="false">
      <c r="A539" s="67"/>
      <c r="B539" s="67"/>
      <c r="C539" s="67"/>
      <c r="D539" s="67"/>
      <c r="E539" s="67" t="str">
        <f aca="false">IF($A539="","",IFERROR(INDEX('Status map'!$D$6:$D$64,MATCH($C539&amp;" | "&amp;$D539,'Status map'!$I$6:$I$64,0)),"Unmapped"))</f>
        <v/>
      </c>
      <c r="F539" s="67"/>
      <c r="G539" s="70"/>
      <c r="H539" s="70"/>
      <c r="I539" s="70"/>
      <c r="J539" s="67"/>
      <c r="K539" s="67"/>
      <c r="L539" s="67"/>
      <c r="M539" s="66" t="str">
        <f aca="false">IF(OR($A539="",$H539&lt;&gt;""),"",Targets!$C$8-$I539)</f>
        <v/>
      </c>
      <c r="N539" s="66" t="str">
        <f aca="false">IF($A539="","",IF(AND($F539="Project",$E539="Active",$M539&lt;&gt;"",$M539&gt;Targets!$C$12),"Yes","No"))</f>
        <v/>
      </c>
      <c r="O539" s="66" t="str">
        <f aca="false">IF($A539="","",IF(AND($G539&gt;=Targets!$C$7,$G539&lt;=Targets!$C$8),"Yes","No"))</f>
        <v/>
      </c>
      <c r="P539" s="66" t="str">
        <f aca="false">IF($A539="","",IF(AND($H539&lt;&gt;"",$H539&gt;=Targets!$C$7,$H539&lt;=Targets!$C$8),"Yes","No"))</f>
        <v/>
      </c>
      <c r="Q539" s="66" t="str">
        <f aca="false">IF($A539="","",IF(AND($F539="Project",$E539&lt;&gt;"Closed",$E539&lt;&gt;"Dormant"),"Yes","No"))</f>
        <v/>
      </c>
      <c r="R539" s="66" t="str">
        <f aca="false">IF($A539="","",IF(AND($L539="In-house",OR($E539="Intake",$E539="Active",$E539="Waiting")),"Yes","No"))</f>
        <v/>
      </c>
      <c r="S539" s="66" t="str">
        <f aca="false">IF($A539="","",$C539&amp;" | "&amp;$D539)</f>
        <v/>
      </c>
      <c r="T539" s="66" t="str">
        <f aca="false">IF($A539="","",IF(AND($L539="Outside provider",OR($E539="Intake",$E539="Active",$E539="Waiting")),"Yes","No"))</f>
        <v/>
      </c>
    </row>
    <row r="540" customFormat="false" ht="15" hidden="false" customHeight="true" outlineLevel="0" collapsed="false">
      <c r="A540" s="63"/>
      <c r="B540" s="63"/>
      <c r="C540" s="63"/>
      <c r="D540" s="63"/>
      <c r="E540" s="63" t="str">
        <f aca="false">IF($A540="","",IFERROR(INDEX('Status map'!$D$6:$D$64,MATCH($C540&amp;" | "&amp;$D540,'Status map'!$I$6:$I$64,0)),"Unmapped"))</f>
        <v/>
      </c>
      <c r="F540" s="63"/>
      <c r="G540" s="69"/>
      <c r="H540" s="69"/>
      <c r="I540" s="69"/>
      <c r="J540" s="63"/>
      <c r="K540" s="63"/>
      <c r="L540" s="63"/>
      <c r="M540" s="66" t="str">
        <f aca="false">IF(OR($A540="",$H540&lt;&gt;""),"",Targets!$C$8-$I540)</f>
        <v/>
      </c>
      <c r="N540" s="66" t="str">
        <f aca="false">IF($A540="","",IF(AND($F540="Project",$E540="Active",$M540&lt;&gt;"",$M540&gt;Targets!$C$12),"Yes","No"))</f>
        <v/>
      </c>
      <c r="O540" s="66" t="str">
        <f aca="false">IF($A540="","",IF(AND($G540&gt;=Targets!$C$7,$G540&lt;=Targets!$C$8),"Yes","No"))</f>
        <v/>
      </c>
      <c r="P540" s="66" t="str">
        <f aca="false">IF($A540="","",IF(AND($H540&lt;&gt;"",$H540&gt;=Targets!$C$7,$H540&lt;=Targets!$C$8),"Yes","No"))</f>
        <v/>
      </c>
      <c r="Q540" s="66" t="str">
        <f aca="false">IF($A540="","",IF(AND($F540="Project",$E540&lt;&gt;"Closed",$E540&lt;&gt;"Dormant"),"Yes","No"))</f>
        <v/>
      </c>
      <c r="R540" s="66" t="str">
        <f aca="false">IF($A540="","",IF(AND($L540="In-house",OR($E540="Intake",$E540="Active",$E540="Waiting")),"Yes","No"))</f>
        <v/>
      </c>
      <c r="S540" s="66" t="str">
        <f aca="false">IF($A540="","",$C540&amp;" | "&amp;$D540)</f>
        <v/>
      </c>
      <c r="T540" s="66" t="str">
        <f aca="false">IF($A540="","",IF(AND($L540="Outside provider",OR($E540="Intake",$E540="Active",$E540="Waiting")),"Yes","No"))</f>
        <v/>
      </c>
    </row>
    <row r="541" customFormat="false" ht="15" hidden="false" customHeight="true" outlineLevel="0" collapsed="false">
      <c r="A541" s="67"/>
      <c r="B541" s="67"/>
      <c r="C541" s="67"/>
      <c r="D541" s="67"/>
      <c r="E541" s="67" t="str">
        <f aca="false">IF($A541="","",IFERROR(INDEX('Status map'!$D$6:$D$64,MATCH($C541&amp;" | "&amp;$D541,'Status map'!$I$6:$I$64,0)),"Unmapped"))</f>
        <v/>
      </c>
      <c r="F541" s="67"/>
      <c r="G541" s="70"/>
      <c r="H541" s="70"/>
      <c r="I541" s="70"/>
      <c r="J541" s="67"/>
      <c r="K541" s="67"/>
      <c r="L541" s="67"/>
      <c r="M541" s="66" t="str">
        <f aca="false">IF(OR($A541="",$H541&lt;&gt;""),"",Targets!$C$8-$I541)</f>
        <v/>
      </c>
      <c r="N541" s="66" t="str">
        <f aca="false">IF($A541="","",IF(AND($F541="Project",$E541="Active",$M541&lt;&gt;"",$M541&gt;Targets!$C$12),"Yes","No"))</f>
        <v/>
      </c>
      <c r="O541" s="66" t="str">
        <f aca="false">IF($A541="","",IF(AND($G541&gt;=Targets!$C$7,$G541&lt;=Targets!$C$8),"Yes","No"))</f>
        <v/>
      </c>
      <c r="P541" s="66" t="str">
        <f aca="false">IF($A541="","",IF(AND($H541&lt;&gt;"",$H541&gt;=Targets!$C$7,$H541&lt;=Targets!$C$8),"Yes","No"))</f>
        <v/>
      </c>
      <c r="Q541" s="66" t="str">
        <f aca="false">IF($A541="","",IF(AND($F541="Project",$E541&lt;&gt;"Closed",$E541&lt;&gt;"Dormant"),"Yes","No"))</f>
        <v/>
      </c>
      <c r="R541" s="66" t="str">
        <f aca="false">IF($A541="","",IF(AND($L541="In-house",OR($E541="Intake",$E541="Active",$E541="Waiting")),"Yes","No"))</f>
        <v/>
      </c>
      <c r="S541" s="66" t="str">
        <f aca="false">IF($A541="","",$C541&amp;" | "&amp;$D541)</f>
        <v/>
      </c>
      <c r="T541" s="66" t="str">
        <f aca="false">IF($A541="","",IF(AND($L541="Outside provider",OR($E541="Intake",$E541="Active",$E541="Waiting")),"Yes","No"))</f>
        <v/>
      </c>
    </row>
    <row r="542" customFormat="false" ht="15" hidden="false" customHeight="true" outlineLevel="0" collapsed="false">
      <c r="A542" s="63"/>
      <c r="B542" s="63"/>
      <c r="C542" s="63"/>
      <c r="D542" s="63"/>
      <c r="E542" s="63" t="str">
        <f aca="false">IF($A542="","",IFERROR(INDEX('Status map'!$D$6:$D$64,MATCH($C542&amp;" | "&amp;$D542,'Status map'!$I$6:$I$64,0)),"Unmapped"))</f>
        <v/>
      </c>
      <c r="F542" s="63"/>
      <c r="G542" s="69"/>
      <c r="H542" s="69"/>
      <c r="I542" s="69"/>
      <c r="J542" s="63"/>
      <c r="K542" s="63"/>
      <c r="L542" s="63"/>
      <c r="M542" s="66" t="str">
        <f aca="false">IF(OR($A542="",$H542&lt;&gt;""),"",Targets!$C$8-$I542)</f>
        <v/>
      </c>
      <c r="N542" s="66" t="str">
        <f aca="false">IF($A542="","",IF(AND($F542="Project",$E542="Active",$M542&lt;&gt;"",$M542&gt;Targets!$C$12),"Yes","No"))</f>
        <v/>
      </c>
      <c r="O542" s="66" t="str">
        <f aca="false">IF($A542="","",IF(AND($G542&gt;=Targets!$C$7,$G542&lt;=Targets!$C$8),"Yes","No"))</f>
        <v/>
      </c>
      <c r="P542" s="66" t="str">
        <f aca="false">IF($A542="","",IF(AND($H542&lt;&gt;"",$H542&gt;=Targets!$C$7,$H542&lt;=Targets!$C$8),"Yes","No"))</f>
        <v/>
      </c>
      <c r="Q542" s="66" t="str">
        <f aca="false">IF($A542="","",IF(AND($F542="Project",$E542&lt;&gt;"Closed",$E542&lt;&gt;"Dormant"),"Yes","No"))</f>
        <v/>
      </c>
      <c r="R542" s="66" t="str">
        <f aca="false">IF($A542="","",IF(AND($L542="In-house",OR($E542="Intake",$E542="Active",$E542="Waiting")),"Yes","No"))</f>
        <v/>
      </c>
      <c r="S542" s="66" t="str">
        <f aca="false">IF($A542="","",$C542&amp;" | "&amp;$D542)</f>
        <v/>
      </c>
      <c r="T542" s="66" t="str">
        <f aca="false">IF($A542="","",IF(AND($L542="Outside provider",OR($E542="Intake",$E542="Active",$E542="Waiting")),"Yes","No"))</f>
        <v/>
      </c>
    </row>
    <row r="543" customFormat="false" ht="15" hidden="false" customHeight="true" outlineLevel="0" collapsed="false">
      <c r="A543" s="67"/>
      <c r="B543" s="67"/>
      <c r="C543" s="67"/>
      <c r="D543" s="67"/>
      <c r="E543" s="67" t="str">
        <f aca="false">IF($A543="","",IFERROR(INDEX('Status map'!$D$6:$D$64,MATCH($C543&amp;" | "&amp;$D543,'Status map'!$I$6:$I$64,0)),"Unmapped"))</f>
        <v/>
      </c>
      <c r="F543" s="67"/>
      <c r="G543" s="70"/>
      <c r="H543" s="70"/>
      <c r="I543" s="70"/>
      <c r="J543" s="67"/>
      <c r="K543" s="67"/>
      <c r="L543" s="67"/>
      <c r="M543" s="66" t="str">
        <f aca="false">IF(OR($A543="",$H543&lt;&gt;""),"",Targets!$C$8-$I543)</f>
        <v/>
      </c>
      <c r="N543" s="66" t="str">
        <f aca="false">IF($A543="","",IF(AND($F543="Project",$E543="Active",$M543&lt;&gt;"",$M543&gt;Targets!$C$12),"Yes","No"))</f>
        <v/>
      </c>
      <c r="O543" s="66" t="str">
        <f aca="false">IF($A543="","",IF(AND($G543&gt;=Targets!$C$7,$G543&lt;=Targets!$C$8),"Yes","No"))</f>
        <v/>
      </c>
      <c r="P543" s="66" t="str">
        <f aca="false">IF($A543="","",IF(AND($H543&lt;&gt;"",$H543&gt;=Targets!$C$7,$H543&lt;=Targets!$C$8),"Yes","No"))</f>
        <v/>
      </c>
      <c r="Q543" s="66" t="str">
        <f aca="false">IF($A543="","",IF(AND($F543="Project",$E543&lt;&gt;"Closed",$E543&lt;&gt;"Dormant"),"Yes","No"))</f>
        <v/>
      </c>
      <c r="R543" s="66" t="str">
        <f aca="false">IF($A543="","",IF(AND($L543="In-house",OR($E543="Intake",$E543="Active",$E543="Waiting")),"Yes","No"))</f>
        <v/>
      </c>
      <c r="S543" s="66" t="str">
        <f aca="false">IF($A543="","",$C543&amp;" | "&amp;$D543)</f>
        <v/>
      </c>
      <c r="T543" s="66" t="str">
        <f aca="false">IF($A543="","",IF(AND($L543="Outside provider",OR($E543="Intake",$E543="Active",$E543="Waiting")),"Yes","No"))</f>
        <v/>
      </c>
    </row>
    <row r="544" customFormat="false" ht="15" hidden="false" customHeight="true" outlineLevel="0" collapsed="false">
      <c r="A544" s="63"/>
      <c r="B544" s="63"/>
      <c r="C544" s="63"/>
      <c r="D544" s="63"/>
      <c r="E544" s="63" t="str">
        <f aca="false">IF($A544="","",IFERROR(INDEX('Status map'!$D$6:$D$64,MATCH($C544&amp;" | "&amp;$D544,'Status map'!$I$6:$I$64,0)),"Unmapped"))</f>
        <v/>
      </c>
      <c r="F544" s="63"/>
      <c r="G544" s="69"/>
      <c r="H544" s="69"/>
      <c r="I544" s="69"/>
      <c r="J544" s="63"/>
      <c r="K544" s="63"/>
      <c r="L544" s="63"/>
      <c r="M544" s="66" t="str">
        <f aca="false">IF(OR($A544="",$H544&lt;&gt;""),"",Targets!$C$8-$I544)</f>
        <v/>
      </c>
      <c r="N544" s="66" t="str">
        <f aca="false">IF($A544="","",IF(AND($F544="Project",$E544="Active",$M544&lt;&gt;"",$M544&gt;Targets!$C$12),"Yes","No"))</f>
        <v/>
      </c>
      <c r="O544" s="66" t="str">
        <f aca="false">IF($A544="","",IF(AND($G544&gt;=Targets!$C$7,$G544&lt;=Targets!$C$8),"Yes","No"))</f>
        <v/>
      </c>
      <c r="P544" s="66" t="str">
        <f aca="false">IF($A544="","",IF(AND($H544&lt;&gt;"",$H544&gt;=Targets!$C$7,$H544&lt;=Targets!$C$8),"Yes","No"))</f>
        <v/>
      </c>
      <c r="Q544" s="66" t="str">
        <f aca="false">IF($A544="","",IF(AND($F544="Project",$E544&lt;&gt;"Closed",$E544&lt;&gt;"Dormant"),"Yes","No"))</f>
        <v/>
      </c>
      <c r="R544" s="66" t="str">
        <f aca="false">IF($A544="","",IF(AND($L544="In-house",OR($E544="Intake",$E544="Active",$E544="Waiting")),"Yes","No"))</f>
        <v/>
      </c>
      <c r="S544" s="66" t="str">
        <f aca="false">IF($A544="","",$C544&amp;" | "&amp;$D544)</f>
        <v/>
      </c>
      <c r="T544" s="66" t="str">
        <f aca="false">IF($A544="","",IF(AND($L544="Outside provider",OR($E544="Intake",$E544="Active",$E544="Waiting")),"Yes","No"))</f>
        <v/>
      </c>
    </row>
    <row r="545" customFormat="false" ht="15" hidden="false" customHeight="true" outlineLevel="0" collapsed="false">
      <c r="A545" s="67"/>
      <c r="B545" s="67"/>
      <c r="C545" s="67"/>
      <c r="D545" s="67"/>
      <c r="E545" s="67" t="str">
        <f aca="false">IF($A545="","",IFERROR(INDEX('Status map'!$D$6:$D$64,MATCH($C545&amp;" | "&amp;$D545,'Status map'!$I$6:$I$64,0)),"Unmapped"))</f>
        <v/>
      </c>
      <c r="F545" s="67"/>
      <c r="G545" s="70"/>
      <c r="H545" s="70"/>
      <c r="I545" s="70"/>
      <c r="J545" s="67"/>
      <c r="K545" s="67"/>
      <c r="L545" s="67"/>
      <c r="M545" s="66" t="str">
        <f aca="false">IF(OR($A545="",$H545&lt;&gt;""),"",Targets!$C$8-$I545)</f>
        <v/>
      </c>
      <c r="N545" s="66" t="str">
        <f aca="false">IF($A545="","",IF(AND($F545="Project",$E545="Active",$M545&lt;&gt;"",$M545&gt;Targets!$C$12),"Yes","No"))</f>
        <v/>
      </c>
      <c r="O545" s="66" t="str">
        <f aca="false">IF($A545="","",IF(AND($G545&gt;=Targets!$C$7,$G545&lt;=Targets!$C$8),"Yes","No"))</f>
        <v/>
      </c>
      <c r="P545" s="66" t="str">
        <f aca="false">IF($A545="","",IF(AND($H545&lt;&gt;"",$H545&gt;=Targets!$C$7,$H545&lt;=Targets!$C$8),"Yes","No"))</f>
        <v/>
      </c>
      <c r="Q545" s="66" t="str">
        <f aca="false">IF($A545="","",IF(AND($F545="Project",$E545&lt;&gt;"Closed",$E545&lt;&gt;"Dormant"),"Yes","No"))</f>
        <v/>
      </c>
      <c r="R545" s="66" t="str">
        <f aca="false">IF($A545="","",IF(AND($L545="In-house",OR($E545="Intake",$E545="Active",$E545="Waiting")),"Yes","No"))</f>
        <v/>
      </c>
      <c r="S545" s="66" t="str">
        <f aca="false">IF($A545="","",$C545&amp;" | "&amp;$D545)</f>
        <v/>
      </c>
      <c r="T545" s="66" t="str">
        <f aca="false">IF($A545="","",IF(AND($L545="Outside provider",OR($E545="Intake",$E545="Active",$E545="Waiting")),"Yes","No"))</f>
        <v/>
      </c>
    </row>
    <row r="546" customFormat="false" ht="15" hidden="false" customHeight="true" outlineLevel="0" collapsed="false">
      <c r="A546" s="63"/>
      <c r="B546" s="63"/>
      <c r="C546" s="63"/>
      <c r="D546" s="63"/>
      <c r="E546" s="63" t="str">
        <f aca="false">IF($A546="","",IFERROR(INDEX('Status map'!$D$6:$D$64,MATCH($C546&amp;" | "&amp;$D546,'Status map'!$I$6:$I$64,0)),"Unmapped"))</f>
        <v/>
      </c>
      <c r="F546" s="63"/>
      <c r="G546" s="69"/>
      <c r="H546" s="69"/>
      <c r="I546" s="69"/>
      <c r="J546" s="63"/>
      <c r="K546" s="63"/>
      <c r="L546" s="63"/>
      <c r="M546" s="66" t="str">
        <f aca="false">IF(OR($A546="",$H546&lt;&gt;""),"",Targets!$C$8-$I546)</f>
        <v/>
      </c>
      <c r="N546" s="66" t="str">
        <f aca="false">IF($A546="","",IF(AND($F546="Project",$E546="Active",$M546&lt;&gt;"",$M546&gt;Targets!$C$12),"Yes","No"))</f>
        <v/>
      </c>
      <c r="O546" s="66" t="str">
        <f aca="false">IF($A546="","",IF(AND($G546&gt;=Targets!$C$7,$G546&lt;=Targets!$C$8),"Yes","No"))</f>
        <v/>
      </c>
      <c r="P546" s="66" t="str">
        <f aca="false">IF($A546="","",IF(AND($H546&lt;&gt;"",$H546&gt;=Targets!$C$7,$H546&lt;=Targets!$C$8),"Yes","No"))</f>
        <v/>
      </c>
      <c r="Q546" s="66" t="str">
        <f aca="false">IF($A546="","",IF(AND($F546="Project",$E546&lt;&gt;"Closed",$E546&lt;&gt;"Dormant"),"Yes","No"))</f>
        <v/>
      </c>
      <c r="R546" s="66" t="str">
        <f aca="false">IF($A546="","",IF(AND($L546="In-house",OR($E546="Intake",$E546="Active",$E546="Waiting")),"Yes","No"))</f>
        <v/>
      </c>
      <c r="S546" s="66" t="str">
        <f aca="false">IF($A546="","",$C546&amp;" | "&amp;$D546)</f>
        <v/>
      </c>
      <c r="T546" s="66" t="str">
        <f aca="false">IF($A546="","",IF(AND($L546="Outside provider",OR($E546="Intake",$E546="Active",$E546="Waiting")),"Yes","No"))</f>
        <v/>
      </c>
    </row>
    <row r="547" customFormat="false" ht="15" hidden="false" customHeight="true" outlineLevel="0" collapsed="false">
      <c r="A547" s="67"/>
      <c r="B547" s="67"/>
      <c r="C547" s="67"/>
      <c r="D547" s="67"/>
      <c r="E547" s="67" t="str">
        <f aca="false">IF($A547="","",IFERROR(INDEX('Status map'!$D$6:$D$64,MATCH($C547&amp;" | "&amp;$D547,'Status map'!$I$6:$I$64,0)),"Unmapped"))</f>
        <v/>
      </c>
      <c r="F547" s="67"/>
      <c r="G547" s="70"/>
      <c r="H547" s="70"/>
      <c r="I547" s="70"/>
      <c r="J547" s="67"/>
      <c r="K547" s="67"/>
      <c r="L547" s="67"/>
      <c r="M547" s="66" t="str">
        <f aca="false">IF(OR($A547="",$H547&lt;&gt;""),"",Targets!$C$8-$I547)</f>
        <v/>
      </c>
      <c r="N547" s="66" t="str">
        <f aca="false">IF($A547="","",IF(AND($F547="Project",$E547="Active",$M547&lt;&gt;"",$M547&gt;Targets!$C$12),"Yes","No"))</f>
        <v/>
      </c>
      <c r="O547" s="66" t="str">
        <f aca="false">IF($A547="","",IF(AND($G547&gt;=Targets!$C$7,$G547&lt;=Targets!$C$8),"Yes","No"))</f>
        <v/>
      </c>
      <c r="P547" s="66" t="str">
        <f aca="false">IF($A547="","",IF(AND($H547&lt;&gt;"",$H547&gt;=Targets!$C$7,$H547&lt;=Targets!$C$8),"Yes","No"))</f>
        <v/>
      </c>
      <c r="Q547" s="66" t="str">
        <f aca="false">IF($A547="","",IF(AND($F547="Project",$E547&lt;&gt;"Closed",$E547&lt;&gt;"Dormant"),"Yes","No"))</f>
        <v/>
      </c>
      <c r="R547" s="66" t="str">
        <f aca="false">IF($A547="","",IF(AND($L547="In-house",OR($E547="Intake",$E547="Active",$E547="Waiting")),"Yes","No"))</f>
        <v/>
      </c>
      <c r="S547" s="66" t="str">
        <f aca="false">IF($A547="","",$C547&amp;" | "&amp;$D547)</f>
        <v/>
      </c>
      <c r="T547" s="66" t="str">
        <f aca="false">IF($A547="","",IF(AND($L547="Outside provider",OR($E547="Intake",$E547="Active",$E547="Waiting")),"Yes","No"))</f>
        <v/>
      </c>
    </row>
    <row r="548" customFormat="false" ht="15" hidden="false" customHeight="true" outlineLevel="0" collapsed="false">
      <c r="A548" s="63"/>
      <c r="B548" s="63"/>
      <c r="C548" s="63"/>
      <c r="D548" s="63"/>
      <c r="E548" s="63" t="str">
        <f aca="false">IF($A548="","",IFERROR(INDEX('Status map'!$D$6:$D$64,MATCH($C548&amp;" | "&amp;$D548,'Status map'!$I$6:$I$64,0)),"Unmapped"))</f>
        <v/>
      </c>
      <c r="F548" s="63"/>
      <c r="G548" s="69"/>
      <c r="H548" s="69"/>
      <c r="I548" s="69"/>
      <c r="J548" s="63"/>
      <c r="K548" s="63"/>
      <c r="L548" s="63"/>
      <c r="M548" s="66" t="str">
        <f aca="false">IF(OR($A548="",$H548&lt;&gt;""),"",Targets!$C$8-$I548)</f>
        <v/>
      </c>
      <c r="N548" s="66" t="str">
        <f aca="false">IF($A548="","",IF(AND($F548="Project",$E548="Active",$M548&lt;&gt;"",$M548&gt;Targets!$C$12),"Yes","No"))</f>
        <v/>
      </c>
      <c r="O548" s="66" t="str">
        <f aca="false">IF($A548="","",IF(AND($G548&gt;=Targets!$C$7,$G548&lt;=Targets!$C$8),"Yes","No"))</f>
        <v/>
      </c>
      <c r="P548" s="66" t="str">
        <f aca="false">IF($A548="","",IF(AND($H548&lt;&gt;"",$H548&gt;=Targets!$C$7,$H548&lt;=Targets!$C$8),"Yes","No"))</f>
        <v/>
      </c>
      <c r="Q548" s="66" t="str">
        <f aca="false">IF($A548="","",IF(AND($F548="Project",$E548&lt;&gt;"Closed",$E548&lt;&gt;"Dormant"),"Yes","No"))</f>
        <v/>
      </c>
      <c r="R548" s="66" t="str">
        <f aca="false">IF($A548="","",IF(AND($L548="In-house",OR($E548="Intake",$E548="Active",$E548="Waiting")),"Yes","No"))</f>
        <v/>
      </c>
      <c r="S548" s="66" t="str">
        <f aca="false">IF($A548="","",$C548&amp;" | "&amp;$D548)</f>
        <v/>
      </c>
      <c r="T548" s="66" t="str">
        <f aca="false">IF($A548="","",IF(AND($L548="Outside provider",OR($E548="Intake",$E548="Active",$E548="Waiting")),"Yes","No"))</f>
        <v/>
      </c>
    </row>
    <row r="549" customFormat="false" ht="15" hidden="false" customHeight="true" outlineLevel="0" collapsed="false">
      <c r="A549" s="67"/>
      <c r="B549" s="67"/>
      <c r="C549" s="67"/>
      <c r="D549" s="67"/>
      <c r="E549" s="67" t="str">
        <f aca="false">IF($A549="","",IFERROR(INDEX('Status map'!$D$6:$D$64,MATCH($C549&amp;" | "&amp;$D549,'Status map'!$I$6:$I$64,0)),"Unmapped"))</f>
        <v/>
      </c>
      <c r="F549" s="67"/>
      <c r="G549" s="70"/>
      <c r="H549" s="70"/>
      <c r="I549" s="70"/>
      <c r="J549" s="67"/>
      <c r="K549" s="67"/>
      <c r="L549" s="67"/>
      <c r="M549" s="66" t="str">
        <f aca="false">IF(OR($A549="",$H549&lt;&gt;""),"",Targets!$C$8-$I549)</f>
        <v/>
      </c>
      <c r="N549" s="66" t="str">
        <f aca="false">IF($A549="","",IF(AND($F549="Project",$E549="Active",$M549&lt;&gt;"",$M549&gt;Targets!$C$12),"Yes","No"))</f>
        <v/>
      </c>
      <c r="O549" s="66" t="str">
        <f aca="false">IF($A549="","",IF(AND($G549&gt;=Targets!$C$7,$G549&lt;=Targets!$C$8),"Yes","No"))</f>
        <v/>
      </c>
      <c r="P549" s="66" t="str">
        <f aca="false">IF($A549="","",IF(AND($H549&lt;&gt;"",$H549&gt;=Targets!$C$7,$H549&lt;=Targets!$C$8),"Yes","No"))</f>
        <v/>
      </c>
      <c r="Q549" s="66" t="str">
        <f aca="false">IF($A549="","",IF(AND($F549="Project",$E549&lt;&gt;"Closed",$E549&lt;&gt;"Dormant"),"Yes","No"))</f>
        <v/>
      </c>
      <c r="R549" s="66" t="str">
        <f aca="false">IF($A549="","",IF(AND($L549="In-house",OR($E549="Intake",$E549="Active",$E549="Waiting")),"Yes","No"))</f>
        <v/>
      </c>
      <c r="S549" s="66" t="str">
        <f aca="false">IF($A549="","",$C549&amp;" | "&amp;$D549)</f>
        <v/>
      </c>
      <c r="T549" s="66" t="str">
        <f aca="false">IF($A549="","",IF(AND($L549="Outside provider",OR($E549="Intake",$E549="Active",$E549="Waiting")),"Yes","No"))</f>
        <v/>
      </c>
    </row>
    <row r="550" customFormat="false" ht="15" hidden="false" customHeight="true" outlineLevel="0" collapsed="false">
      <c r="A550" s="63"/>
      <c r="B550" s="63"/>
      <c r="C550" s="63"/>
      <c r="D550" s="63"/>
      <c r="E550" s="63" t="str">
        <f aca="false">IF($A550="","",IFERROR(INDEX('Status map'!$D$6:$D$64,MATCH($C550&amp;" | "&amp;$D550,'Status map'!$I$6:$I$64,0)),"Unmapped"))</f>
        <v/>
      </c>
      <c r="F550" s="63"/>
      <c r="G550" s="69"/>
      <c r="H550" s="69"/>
      <c r="I550" s="69"/>
      <c r="J550" s="63"/>
      <c r="K550" s="63"/>
      <c r="L550" s="63"/>
      <c r="M550" s="66" t="str">
        <f aca="false">IF(OR($A550="",$H550&lt;&gt;""),"",Targets!$C$8-$I550)</f>
        <v/>
      </c>
      <c r="N550" s="66" t="str">
        <f aca="false">IF($A550="","",IF(AND($F550="Project",$E550="Active",$M550&lt;&gt;"",$M550&gt;Targets!$C$12),"Yes","No"))</f>
        <v/>
      </c>
      <c r="O550" s="66" t="str">
        <f aca="false">IF($A550="","",IF(AND($G550&gt;=Targets!$C$7,$G550&lt;=Targets!$C$8),"Yes","No"))</f>
        <v/>
      </c>
      <c r="P550" s="66" t="str">
        <f aca="false">IF($A550="","",IF(AND($H550&lt;&gt;"",$H550&gt;=Targets!$C$7,$H550&lt;=Targets!$C$8),"Yes","No"))</f>
        <v/>
      </c>
      <c r="Q550" s="66" t="str">
        <f aca="false">IF($A550="","",IF(AND($F550="Project",$E550&lt;&gt;"Closed",$E550&lt;&gt;"Dormant"),"Yes","No"))</f>
        <v/>
      </c>
      <c r="R550" s="66" t="str">
        <f aca="false">IF($A550="","",IF(AND($L550="In-house",OR($E550="Intake",$E550="Active",$E550="Waiting")),"Yes","No"))</f>
        <v/>
      </c>
      <c r="S550" s="66" t="str">
        <f aca="false">IF($A550="","",$C550&amp;" | "&amp;$D550)</f>
        <v/>
      </c>
      <c r="T550" s="66" t="str">
        <f aca="false">IF($A550="","",IF(AND($L550="Outside provider",OR($E550="Intake",$E550="Active",$E550="Waiting")),"Yes","No"))</f>
        <v/>
      </c>
    </row>
    <row r="551" customFormat="false" ht="15" hidden="false" customHeight="true" outlineLevel="0" collapsed="false">
      <c r="A551" s="67"/>
      <c r="B551" s="67"/>
      <c r="C551" s="67"/>
      <c r="D551" s="67"/>
      <c r="E551" s="67" t="str">
        <f aca="false">IF($A551="","",IFERROR(INDEX('Status map'!$D$6:$D$64,MATCH($C551&amp;" | "&amp;$D551,'Status map'!$I$6:$I$64,0)),"Unmapped"))</f>
        <v/>
      </c>
      <c r="F551" s="67"/>
      <c r="G551" s="70"/>
      <c r="H551" s="70"/>
      <c r="I551" s="70"/>
      <c r="J551" s="67"/>
      <c r="K551" s="67"/>
      <c r="L551" s="67"/>
      <c r="M551" s="66" t="str">
        <f aca="false">IF(OR($A551="",$H551&lt;&gt;""),"",Targets!$C$8-$I551)</f>
        <v/>
      </c>
      <c r="N551" s="66" t="str">
        <f aca="false">IF($A551="","",IF(AND($F551="Project",$E551="Active",$M551&lt;&gt;"",$M551&gt;Targets!$C$12),"Yes","No"))</f>
        <v/>
      </c>
      <c r="O551" s="66" t="str">
        <f aca="false">IF($A551="","",IF(AND($G551&gt;=Targets!$C$7,$G551&lt;=Targets!$C$8),"Yes","No"))</f>
        <v/>
      </c>
      <c r="P551" s="66" t="str">
        <f aca="false">IF($A551="","",IF(AND($H551&lt;&gt;"",$H551&gt;=Targets!$C$7,$H551&lt;=Targets!$C$8),"Yes","No"))</f>
        <v/>
      </c>
      <c r="Q551" s="66" t="str">
        <f aca="false">IF($A551="","",IF(AND($F551="Project",$E551&lt;&gt;"Closed",$E551&lt;&gt;"Dormant"),"Yes","No"))</f>
        <v/>
      </c>
      <c r="R551" s="66" t="str">
        <f aca="false">IF($A551="","",IF(AND($L551="In-house",OR($E551="Intake",$E551="Active",$E551="Waiting")),"Yes","No"))</f>
        <v/>
      </c>
      <c r="S551" s="66" t="str">
        <f aca="false">IF($A551="","",$C551&amp;" | "&amp;$D551)</f>
        <v/>
      </c>
      <c r="T551" s="66" t="str">
        <f aca="false">IF($A551="","",IF(AND($L551="Outside provider",OR($E551="Intake",$E551="Active",$E551="Waiting")),"Yes","No"))</f>
        <v/>
      </c>
    </row>
    <row r="552" customFormat="false" ht="15" hidden="false" customHeight="true" outlineLevel="0" collapsed="false">
      <c r="A552" s="63"/>
      <c r="B552" s="63"/>
      <c r="C552" s="63"/>
      <c r="D552" s="63"/>
      <c r="E552" s="63" t="str">
        <f aca="false">IF($A552="","",IFERROR(INDEX('Status map'!$D$6:$D$64,MATCH($C552&amp;" | "&amp;$D552,'Status map'!$I$6:$I$64,0)),"Unmapped"))</f>
        <v/>
      </c>
      <c r="F552" s="63"/>
      <c r="G552" s="69"/>
      <c r="H552" s="69"/>
      <c r="I552" s="69"/>
      <c r="J552" s="63"/>
      <c r="K552" s="63"/>
      <c r="L552" s="63"/>
      <c r="M552" s="66" t="str">
        <f aca="false">IF(OR($A552="",$H552&lt;&gt;""),"",Targets!$C$8-$I552)</f>
        <v/>
      </c>
      <c r="N552" s="66" t="str">
        <f aca="false">IF($A552="","",IF(AND($F552="Project",$E552="Active",$M552&lt;&gt;"",$M552&gt;Targets!$C$12),"Yes","No"))</f>
        <v/>
      </c>
      <c r="O552" s="66" t="str">
        <f aca="false">IF($A552="","",IF(AND($G552&gt;=Targets!$C$7,$G552&lt;=Targets!$C$8),"Yes","No"))</f>
        <v/>
      </c>
      <c r="P552" s="66" t="str">
        <f aca="false">IF($A552="","",IF(AND($H552&lt;&gt;"",$H552&gt;=Targets!$C$7,$H552&lt;=Targets!$C$8),"Yes","No"))</f>
        <v/>
      </c>
      <c r="Q552" s="66" t="str">
        <f aca="false">IF($A552="","",IF(AND($F552="Project",$E552&lt;&gt;"Closed",$E552&lt;&gt;"Dormant"),"Yes","No"))</f>
        <v/>
      </c>
      <c r="R552" s="66" t="str">
        <f aca="false">IF($A552="","",IF(AND($L552="In-house",OR($E552="Intake",$E552="Active",$E552="Waiting")),"Yes","No"))</f>
        <v/>
      </c>
      <c r="S552" s="66" t="str">
        <f aca="false">IF($A552="","",$C552&amp;" | "&amp;$D552)</f>
        <v/>
      </c>
      <c r="T552" s="66" t="str">
        <f aca="false">IF($A552="","",IF(AND($L552="Outside provider",OR($E552="Intake",$E552="Active",$E552="Waiting")),"Yes","No"))</f>
        <v/>
      </c>
    </row>
    <row r="553" customFormat="false" ht="15" hidden="false" customHeight="true" outlineLevel="0" collapsed="false">
      <c r="A553" s="67"/>
      <c r="B553" s="67"/>
      <c r="C553" s="67"/>
      <c r="D553" s="67"/>
      <c r="E553" s="67" t="str">
        <f aca="false">IF($A553="","",IFERROR(INDEX('Status map'!$D$6:$D$64,MATCH($C553&amp;" | "&amp;$D553,'Status map'!$I$6:$I$64,0)),"Unmapped"))</f>
        <v/>
      </c>
      <c r="F553" s="67"/>
      <c r="G553" s="70"/>
      <c r="H553" s="70"/>
      <c r="I553" s="70"/>
      <c r="J553" s="67"/>
      <c r="K553" s="67"/>
      <c r="L553" s="67"/>
      <c r="M553" s="66" t="str">
        <f aca="false">IF(OR($A553="",$H553&lt;&gt;""),"",Targets!$C$8-$I553)</f>
        <v/>
      </c>
      <c r="N553" s="66" t="str">
        <f aca="false">IF($A553="","",IF(AND($F553="Project",$E553="Active",$M553&lt;&gt;"",$M553&gt;Targets!$C$12),"Yes","No"))</f>
        <v/>
      </c>
      <c r="O553" s="66" t="str">
        <f aca="false">IF($A553="","",IF(AND($G553&gt;=Targets!$C$7,$G553&lt;=Targets!$C$8),"Yes","No"))</f>
        <v/>
      </c>
      <c r="P553" s="66" t="str">
        <f aca="false">IF($A553="","",IF(AND($H553&lt;&gt;"",$H553&gt;=Targets!$C$7,$H553&lt;=Targets!$C$8),"Yes","No"))</f>
        <v/>
      </c>
      <c r="Q553" s="66" t="str">
        <f aca="false">IF($A553="","",IF(AND($F553="Project",$E553&lt;&gt;"Closed",$E553&lt;&gt;"Dormant"),"Yes","No"))</f>
        <v/>
      </c>
      <c r="R553" s="66" t="str">
        <f aca="false">IF($A553="","",IF(AND($L553="In-house",OR($E553="Intake",$E553="Active",$E553="Waiting")),"Yes","No"))</f>
        <v/>
      </c>
      <c r="S553" s="66" t="str">
        <f aca="false">IF($A553="","",$C553&amp;" | "&amp;$D553)</f>
        <v/>
      </c>
      <c r="T553" s="66" t="str">
        <f aca="false">IF($A553="","",IF(AND($L553="Outside provider",OR($E553="Intake",$E553="Active",$E553="Waiting")),"Yes","No"))</f>
        <v/>
      </c>
    </row>
    <row r="554" customFormat="false" ht="15" hidden="false" customHeight="true" outlineLevel="0" collapsed="false">
      <c r="A554" s="63"/>
      <c r="B554" s="63"/>
      <c r="C554" s="63"/>
      <c r="D554" s="63"/>
      <c r="E554" s="63" t="str">
        <f aca="false">IF($A554="","",IFERROR(INDEX('Status map'!$D$6:$D$64,MATCH($C554&amp;" | "&amp;$D554,'Status map'!$I$6:$I$64,0)),"Unmapped"))</f>
        <v/>
      </c>
      <c r="F554" s="63"/>
      <c r="G554" s="69"/>
      <c r="H554" s="69"/>
      <c r="I554" s="69"/>
      <c r="J554" s="63"/>
      <c r="K554" s="63"/>
      <c r="L554" s="63"/>
      <c r="M554" s="66" t="str">
        <f aca="false">IF(OR($A554="",$H554&lt;&gt;""),"",Targets!$C$8-$I554)</f>
        <v/>
      </c>
      <c r="N554" s="66" t="str">
        <f aca="false">IF($A554="","",IF(AND($F554="Project",$E554="Active",$M554&lt;&gt;"",$M554&gt;Targets!$C$12),"Yes","No"))</f>
        <v/>
      </c>
      <c r="O554" s="66" t="str">
        <f aca="false">IF($A554="","",IF(AND($G554&gt;=Targets!$C$7,$G554&lt;=Targets!$C$8),"Yes","No"))</f>
        <v/>
      </c>
      <c r="P554" s="66" t="str">
        <f aca="false">IF($A554="","",IF(AND($H554&lt;&gt;"",$H554&gt;=Targets!$C$7,$H554&lt;=Targets!$C$8),"Yes","No"))</f>
        <v/>
      </c>
      <c r="Q554" s="66" t="str">
        <f aca="false">IF($A554="","",IF(AND($F554="Project",$E554&lt;&gt;"Closed",$E554&lt;&gt;"Dormant"),"Yes","No"))</f>
        <v/>
      </c>
      <c r="R554" s="66" t="str">
        <f aca="false">IF($A554="","",IF(AND($L554="In-house",OR($E554="Intake",$E554="Active",$E554="Waiting")),"Yes","No"))</f>
        <v/>
      </c>
      <c r="S554" s="66" t="str">
        <f aca="false">IF($A554="","",$C554&amp;" | "&amp;$D554)</f>
        <v/>
      </c>
      <c r="T554" s="66" t="str">
        <f aca="false">IF($A554="","",IF(AND($L554="Outside provider",OR($E554="Intake",$E554="Active",$E554="Waiting")),"Yes","No"))</f>
        <v/>
      </c>
    </row>
    <row r="555" customFormat="false" ht="15" hidden="false" customHeight="true" outlineLevel="0" collapsed="false">
      <c r="A555" s="67"/>
      <c r="B555" s="67"/>
      <c r="C555" s="67"/>
      <c r="D555" s="67"/>
      <c r="E555" s="67" t="str">
        <f aca="false">IF($A555="","",IFERROR(INDEX('Status map'!$D$6:$D$64,MATCH($C555&amp;" | "&amp;$D555,'Status map'!$I$6:$I$64,0)),"Unmapped"))</f>
        <v/>
      </c>
      <c r="F555" s="67"/>
      <c r="G555" s="70"/>
      <c r="H555" s="70"/>
      <c r="I555" s="70"/>
      <c r="J555" s="67"/>
      <c r="K555" s="67"/>
      <c r="L555" s="67"/>
      <c r="M555" s="66" t="str">
        <f aca="false">IF(OR($A555="",$H555&lt;&gt;""),"",Targets!$C$8-$I555)</f>
        <v/>
      </c>
      <c r="N555" s="66" t="str">
        <f aca="false">IF($A555="","",IF(AND($F555="Project",$E555="Active",$M555&lt;&gt;"",$M555&gt;Targets!$C$12),"Yes","No"))</f>
        <v/>
      </c>
      <c r="O555" s="66" t="str">
        <f aca="false">IF($A555="","",IF(AND($G555&gt;=Targets!$C$7,$G555&lt;=Targets!$C$8),"Yes","No"))</f>
        <v/>
      </c>
      <c r="P555" s="66" t="str">
        <f aca="false">IF($A555="","",IF(AND($H555&lt;&gt;"",$H555&gt;=Targets!$C$7,$H555&lt;=Targets!$C$8),"Yes","No"))</f>
        <v/>
      </c>
      <c r="Q555" s="66" t="str">
        <f aca="false">IF($A555="","",IF(AND($F555="Project",$E555&lt;&gt;"Closed",$E555&lt;&gt;"Dormant"),"Yes","No"))</f>
        <v/>
      </c>
      <c r="R555" s="66" t="str">
        <f aca="false">IF($A555="","",IF(AND($L555="In-house",OR($E555="Intake",$E555="Active",$E555="Waiting")),"Yes","No"))</f>
        <v/>
      </c>
      <c r="S555" s="66" t="str">
        <f aca="false">IF($A555="","",$C555&amp;" | "&amp;$D555)</f>
        <v/>
      </c>
      <c r="T555" s="66" t="str">
        <f aca="false">IF($A555="","",IF(AND($L555="Outside provider",OR($E555="Intake",$E555="Active",$E555="Waiting")),"Yes","No"))</f>
        <v/>
      </c>
    </row>
    <row r="556" customFormat="false" ht="15" hidden="false" customHeight="true" outlineLevel="0" collapsed="false">
      <c r="A556" s="63"/>
      <c r="B556" s="63"/>
      <c r="C556" s="63"/>
      <c r="D556" s="63"/>
      <c r="E556" s="63" t="str">
        <f aca="false">IF($A556="","",IFERROR(INDEX('Status map'!$D$6:$D$64,MATCH($C556&amp;" | "&amp;$D556,'Status map'!$I$6:$I$64,0)),"Unmapped"))</f>
        <v/>
      </c>
      <c r="F556" s="63"/>
      <c r="G556" s="69"/>
      <c r="H556" s="69"/>
      <c r="I556" s="69"/>
      <c r="J556" s="63"/>
      <c r="K556" s="63"/>
      <c r="L556" s="63"/>
      <c r="M556" s="66" t="str">
        <f aca="false">IF(OR($A556="",$H556&lt;&gt;""),"",Targets!$C$8-$I556)</f>
        <v/>
      </c>
      <c r="N556" s="66" t="str">
        <f aca="false">IF($A556="","",IF(AND($F556="Project",$E556="Active",$M556&lt;&gt;"",$M556&gt;Targets!$C$12),"Yes","No"))</f>
        <v/>
      </c>
      <c r="O556" s="66" t="str">
        <f aca="false">IF($A556="","",IF(AND($G556&gt;=Targets!$C$7,$G556&lt;=Targets!$C$8),"Yes","No"))</f>
        <v/>
      </c>
      <c r="P556" s="66" t="str">
        <f aca="false">IF($A556="","",IF(AND($H556&lt;&gt;"",$H556&gt;=Targets!$C$7,$H556&lt;=Targets!$C$8),"Yes","No"))</f>
        <v/>
      </c>
      <c r="Q556" s="66" t="str">
        <f aca="false">IF($A556="","",IF(AND($F556="Project",$E556&lt;&gt;"Closed",$E556&lt;&gt;"Dormant"),"Yes","No"))</f>
        <v/>
      </c>
      <c r="R556" s="66" t="str">
        <f aca="false">IF($A556="","",IF(AND($L556="In-house",OR($E556="Intake",$E556="Active",$E556="Waiting")),"Yes","No"))</f>
        <v/>
      </c>
      <c r="S556" s="66" t="str">
        <f aca="false">IF($A556="","",$C556&amp;" | "&amp;$D556)</f>
        <v/>
      </c>
      <c r="T556" s="66" t="str">
        <f aca="false">IF($A556="","",IF(AND($L556="Outside provider",OR($E556="Intake",$E556="Active",$E556="Waiting")),"Yes","No"))</f>
        <v/>
      </c>
    </row>
    <row r="557" customFormat="false" ht="15" hidden="false" customHeight="true" outlineLevel="0" collapsed="false">
      <c r="A557" s="67"/>
      <c r="B557" s="67"/>
      <c r="C557" s="67"/>
      <c r="D557" s="67"/>
      <c r="E557" s="67" t="str">
        <f aca="false">IF($A557="","",IFERROR(INDEX('Status map'!$D$6:$D$64,MATCH($C557&amp;" | "&amp;$D557,'Status map'!$I$6:$I$64,0)),"Unmapped"))</f>
        <v/>
      </c>
      <c r="F557" s="67"/>
      <c r="G557" s="70"/>
      <c r="H557" s="70"/>
      <c r="I557" s="70"/>
      <c r="J557" s="67"/>
      <c r="K557" s="67"/>
      <c r="L557" s="67"/>
      <c r="M557" s="66" t="str">
        <f aca="false">IF(OR($A557="",$H557&lt;&gt;""),"",Targets!$C$8-$I557)</f>
        <v/>
      </c>
      <c r="N557" s="66" t="str">
        <f aca="false">IF($A557="","",IF(AND($F557="Project",$E557="Active",$M557&lt;&gt;"",$M557&gt;Targets!$C$12),"Yes","No"))</f>
        <v/>
      </c>
      <c r="O557" s="66" t="str">
        <f aca="false">IF($A557="","",IF(AND($G557&gt;=Targets!$C$7,$G557&lt;=Targets!$C$8),"Yes","No"))</f>
        <v/>
      </c>
      <c r="P557" s="66" t="str">
        <f aca="false">IF($A557="","",IF(AND($H557&lt;&gt;"",$H557&gt;=Targets!$C$7,$H557&lt;=Targets!$C$8),"Yes","No"))</f>
        <v/>
      </c>
      <c r="Q557" s="66" t="str">
        <f aca="false">IF($A557="","",IF(AND($F557="Project",$E557&lt;&gt;"Closed",$E557&lt;&gt;"Dormant"),"Yes","No"))</f>
        <v/>
      </c>
      <c r="R557" s="66" t="str">
        <f aca="false">IF($A557="","",IF(AND($L557="In-house",OR($E557="Intake",$E557="Active",$E557="Waiting")),"Yes","No"))</f>
        <v/>
      </c>
      <c r="S557" s="66" t="str">
        <f aca="false">IF($A557="","",$C557&amp;" | "&amp;$D557)</f>
        <v/>
      </c>
      <c r="T557" s="66" t="str">
        <f aca="false">IF($A557="","",IF(AND($L557="Outside provider",OR($E557="Intake",$E557="Active",$E557="Waiting")),"Yes","No"))</f>
        <v/>
      </c>
    </row>
    <row r="558" customFormat="false" ht="15" hidden="false" customHeight="true" outlineLevel="0" collapsed="false">
      <c r="A558" s="63"/>
      <c r="B558" s="63"/>
      <c r="C558" s="63"/>
      <c r="D558" s="63"/>
      <c r="E558" s="63" t="str">
        <f aca="false">IF($A558="","",IFERROR(INDEX('Status map'!$D$6:$D$64,MATCH($C558&amp;" | "&amp;$D558,'Status map'!$I$6:$I$64,0)),"Unmapped"))</f>
        <v/>
      </c>
      <c r="F558" s="63"/>
      <c r="G558" s="69"/>
      <c r="H558" s="69"/>
      <c r="I558" s="69"/>
      <c r="J558" s="63"/>
      <c r="K558" s="63"/>
      <c r="L558" s="63"/>
      <c r="M558" s="66" t="str">
        <f aca="false">IF(OR($A558="",$H558&lt;&gt;""),"",Targets!$C$8-$I558)</f>
        <v/>
      </c>
      <c r="N558" s="66" t="str">
        <f aca="false">IF($A558="","",IF(AND($F558="Project",$E558="Active",$M558&lt;&gt;"",$M558&gt;Targets!$C$12),"Yes","No"))</f>
        <v/>
      </c>
      <c r="O558" s="66" t="str">
        <f aca="false">IF($A558="","",IF(AND($G558&gt;=Targets!$C$7,$G558&lt;=Targets!$C$8),"Yes","No"))</f>
        <v/>
      </c>
      <c r="P558" s="66" t="str">
        <f aca="false">IF($A558="","",IF(AND($H558&lt;&gt;"",$H558&gt;=Targets!$C$7,$H558&lt;=Targets!$C$8),"Yes","No"))</f>
        <v/>
      </c>
      <c r="Q558" s="66" t="str">
        <f aca="false">IF($A558="","",IF(AND($F558="Project",$E558&lt;&gt;"Closed",$E558&lt;&gt;"Dormant"),"Yes","No"))</f>
        <v/>
      </c>
      <c r="R558" s="66" t="str">
        <f aca="false">IF($A558="","",IF(AND($L558="In-house",OR($E558="Intake",$E558="Active",$E558="Waiting")),"Yes","No"))</f>
        <v/>
      </c>
      <c r="S558" s="66" t="str">
        <f aca="false">IF($A558="","",$C558&amp;" | "&amp;$D558)</f>
        <v/>
      </c>
      <c r="T558" s="66" t="str">
        <f aca="false">IF($A558="","",IF(AND($L558="Outside provider",OR($E558="Intake",$E558="Active",$E558="Waiting")),"Yes","No"))</f>
        <v/>
      </c>
    </row>
    <row r="559" customFormat="false" ht="15" hidden="false" customHeight="true" outlineLevel="0" collapsed="false">
      <c r="A559" s="67"/>
      <c r="B559" s="67"/>
      <c r="C559" s="67"/>
      <c r="D559" s="67"/>
      <c r="E559" s="67" t="str">
        <f aca="false">IF($A559="","",IFERROR(INDEX('Status map'!$D$6:$D$64,MATCH($C559&amp;" | "&amp;$D559,'Status map'!$I$6:$I$64,0)),"Unmapped"))</f>
        <v/>
      </c>
      <c r="F559" s="67"/>
      <c r="G559" s="70"/>
      <c r="H559" s="70"/>
      <c r="I559" s="70"/>
      <c r="J559" s="67"/>
      <c r="K559" s="67"/>
      <c r="L559" s="67"/>
      <c r="M559" s="66" t="str">
        <f aca="false">IF(OR($A559="",$H559&lt;&gt;""),"",Targets!$C$8-$I559)</f>
        <v/>
      </c>
      <c r="N559" s="66" t="str">
        <f aca="false">IF($A559="","",IF(AND($F559="Project",$E559="Active",$M559&lt;&gt;"",$M559&gt;Targets!$C$12),"Yes","No"))</f>
        <v/>
      </c>
      <c r="O559" s="66" t="str">
        <f aca="false">IF($A559="","",IF(AND($G559&gt;=Targets!$C$7,$G559&lt;=Targets!$C$8),"Yes","No"))</f>
        <v/>
      </c>
      <c r="P559" s="66" t="str">
        <f aca="false">IF($A559="","",IF(AND($H559&lt;&gt;"",$H559&gt;=Targets!$C$7,$H559&lt;=Targets!$C$8),"Yes","No"))</f>
        <v/>
      </c>
      <c r="Q559" s="66" t="str">
        <f aca="false">IF($A559="","",IF(AND($F559="Project",$E559&lt;&gt;"Closed",$E559&lt;&gt;"Dormant"),"Yes","No"))</f>
        <v/>
      </c>
      <c r="R559" s="66" t="str">
        <f aca="false">IF($A559="","",IF(AND($L559="In-house",OR($E559="Intake",$E559="Active",$E559="Waiting")),"Yes","No"))</f>
        <v/>
      </c>
      <c r="S559" s="66" t="str">
        <f aca="false">IF($A559="","",$C559&amp;" | "&amp;$D559)</f>
        <v/>
      </c>
      <c r="T559" s="66" t="str">
        <f aca="false">IF($A559="","",IF(AND($L559="Outside provider",OR($E559="Intake",$E559="Active",$E559="Waiting")),"Yes","No"))</f>
        <v/>
      </c>
    </row>
    <row r="560" customFormat="false" ht="15" hidden="false" customHeight="true" outlineLevel="0" collapsed="false">
      <c r="A560" s="63"/>
      <c r="B560" s="63"/>
      <c r="C560" s="63"/>
      <c r="D560" s="63"/>
      <c r="E560" s="63" t="str">
        <f aca="false">IF($A560="","",IFERROR(INDEX('Status map'!$D$6:$D$64,MATCH($C560&amp;" | "&amp;$D560,'Status map'!$I$6:$I$64,0)),"Unmapped"))</f>
        <v/>
      </c>
      <c r="F560" s="63"/>
      <c r="G560" s="69"/>
      <c r="H560" s="69"/>
      <c r="I560" s="69"/>
      <c r="J560" s="63"/>
      <c r="K560" s="63"/>
      <c r="L560" s="63"/>
      <c r="M560" s="66" t="str">
        <f aca="false">IF(OR($A560="",$H560&lt;&gt;""),"",Targets!$C$8-$I560)</f>
        <v/>
      </c>
      <c r="N560" s="66" t="str">
        <f aca="false">IF($A560="","",IF(AND($F560="Project",$E560="Active",$M560&lt;&gt;"",$M560&gt;Targets!$C$12),"Yes","No"))</f>
        <v/>
      </c>
      <c r="O560" s="66" t="str">
        <f aca="false">IF($A560="","",IF(AND($G560&gt;=Targets!$C$7,$G560&lt;=Targets!$C$8),"Yes","No"))</f>
        <v/>
      </c>
      <c r="P560" s="66" t="str">
        <f aca="false">IF($A560="","",IF(AND($H560&lt;&gt;"",$H560&gt;=Targets!$C$7,$H560&lt;=Targets!$C$8),"Yes","No"))</f>
        <v/>
      </c>
      <c r="Q560" s="66" t="str">
        <f aca="false">IF($A560="","",IF(AND($F560="Project",$E560&lt;&gt;"Closed",$E560&lt;&gt;"Dormant"),"Yes","No"))</f>
        <v/>
      </c>
      <c r="R560" s="66" t="str">
        <f aca="false">IF($A560="","",IF(AND($L560="In-house",OR($E560="Intake",$E560="Active",$E560="Waiting")),"Yes","No"))</f>
        <v/>
      </c>
      <c r="S560" s="66" t="str">
        <f aca="false">IF($A560="","",$C560&amp;" | "&amp;$D560)</f>
        <v/>
      </c>
      <c r="T560" s="66" t="str">
        <f aca="false">IF($A560="","",IF(AND($L560="Outside provider",OR($E560="Intake",$E560="Active",$E560="Waiting")),"Yes","No"))</f>
        <v/>
      </c>
    </row>
    <row r="561" customFormat="false" ht="15" hidden="false" customHeight="true" outlineLevel="0" collapsed="false">
      <c r="A561" s="67"/>
      <c r="B561" s="67"/>
      <c r="C561" s="67"/>
      <c r="D561" s="67"/>
      <c r="E561" s="67" t="str">
        <f aca="false">IF($A561="","",IFERROR(INDEX('Status map'!$D$6:$D$64,MATCH($C561&amp;" | "&amp;$D561,'Status map'!$I$6:$I$64,0)),"Unmapped"))</f>
        <v/>
      </c>
      <c r="F561" s="67"/>
      <c r="G561" s="70"/>
      <c r="H561" s="70"/>
      <c r="I561" s="70"/>
      <c r="J561" s="67"/>
      <c r="K561" s="67"/>
      <c r="L561" s="67"/>
      <c r="M561" s="66" t="str">
        <f aca="false">IF(OR($A561="",$H561&lt;&gt;""),"",Targets!$C$8-$I561)</f>
        <v/>
      </c>
      <c r="N561" s="66" t="str">
        <f aca="false">IF($A561="","",IF(AND($F561="Project",$E561="Active",$M561&lt;&gt;"",$M561&gt;Targets!$C$12),"Yes","No"))</f>
        <v/>
      </c>
      <c r="O561" s="66" t="str">
        <f aca="false">IF($A561="","",IF(AND($G561&gt;=Targets!$C$7,$G561&lt;=Targets!$C$8),"Yes","No"))</f>
        <v/>
      </c>
      <c r="P561" s="66" t="str">
        <f aca="false">IF($A561="","",IF(AND($H561&lt;&gt;"",$H561&gt;=Targets!$C$7,$H561&lt;=Targets!$C$8),"Yes","No"))</f>
        <v/>
      </c>
      <c r="Q561" s="66" t="str">
        <f aca="false">IF($A561="","",IF(AND($F561="Project",$E561&lt;&gt;"Closed",$E561&lt;&gt;"Dormant"),"Yes","No"))</f>
        <v/>
      </c>
      <c r="R561" s="66" t="str">
        <f aca="false">IF($A561="","",IF(AND($L561="In-house",OR($E561="Intake",$E561="Active",$E561="Waiting")),"Yes","No"))</f>
        <v/>
      </c>
      <c r="S561" s="66" t="str">
        <f aca="false">IF($A561="","",$C561&amp;" | "&amp;$D561)</f>
        <v/>
      </c>
      <c r="T561" s="66" t="str">
        <f aca="false">IF($A561="","",IF(AND($L561="Outside provider",OR($E561="Intake",$E561="Active",$E561="Waiting")),"Yes","No"))</f>
        <v/>
      </c>
    </row>
    <row r="562" customFormat="false" ht="15" hidden="false" customHeight="true" outlineLevel="0" collapsed="false">
      <c r="A562" s="63"/>
      <c r="B562" s="63"/>
      <c r="C562" s="63"/>
      <c r="D562" s="63"/>
      <c r="E562" s="63" t="str">
        <f aca="false">IF($A562="","",IFERROR(INDEX('Status map'!$D$6:$D$64,MATCH($C562&amp;" | "&amp;$D562,'Status map'!$I$6:$I$64,0)),"Unmapped"))</f>
        <v/>
      </c>
      <c r="F562" s="63"/>
      <c r="G562" s="69"/>
      <c r="H562" s="69"/>
      <c r="I562" s="69"/>
      <c r="J562" s="63"/>
      <c r="K562" s="63"/>
      <c r="L562" s="63"/>
      <c r="M562" s="66" t="str">
        <f aca="false">IF(OR($A562="",$H562&lt;&gt;""),"",Targets!$C$8-$I562)</f>
        <v/>
      </c>
      <c r="N562" s="66" t="str">
        <f aca="false">IF($A562="","",IF(AND($F562="Project",$E562="Active",$M562&lt;&gt;"",$M562&gt;Targets!$C$12),"Yes","No"))</f>
        <v/>
      </c>
      <c r="O562" s="66" t="str">
        <f aca="false">IF($A562="","",IF(AND($G562&gt;=Targets!$C$7,$G562&lt;=Targets!$C$8),"Yes","No"))</f>
        <v/>
      </c>
      <c r="P562" s="66" t="str">
        <f aca="false">IF($A562="","",IF(AND($H562&lt;&gt;"",$H562&gt;=Targets!$C$7,$H562&lt;=Targets!$C$8),"Yes","No"))</f>
        <v/>
      </c>
      <c r="Q562" s="66" t="str">
        <f aca="false">IF($A562="","",IF(AND($F562="Project",$E562&lt;&gt;"Closed",$E562&lt;&gt;"Dormant"),"Yes","No"))</f>
        <v/>
      </c>
      <c r="R562" s="66" t="str">
        <f aca="false">IF($A562="","",IF(AND($L562="In-house",OR($E562="Intake",$E562="Active",$E562="Waiting")),"Yes","No"))</f>
        <v/>
      </c>
      <c r="S562" s="66" t="str">
        <f aca="false">IF($A562="","",$C562&amp;" | "&amp;$D562)</f>
        <v/>
      </c>
      <c r="T562" s="66" t="str">
        <f aca="false">IF($A562="","",IF(AND($L562="Outside provider",OR($E562="Intake",$E562="Active",$E562="Waiting")),"Yes","No"))</f>
        <v/>
      </c>
    </row>
    <row r="563" customFormat="false" ht="15" hidden="false" customHeight="true" outlineLevel="0" collapsed="false">
      <c r="A563" s="67"/>
      <c r="B563" s="67"/>
      <c r="C563" s="67"/>
      <c r="D563" s="67"/>
      <c r="E563" s="67" t="str">
        <f aca="false">IF($A563="","",IFERROR(INDEX('Status map'!$D$6:$D$64,MATCH($C563&amp;" | "&amp;$D563,'Status map'!$I$6:$I$64,0)),"Unmapped"))</f>
        <v/>
      </c>
      <c r="F563" s="67"/>
      <c r="G563" s="70"/>
      <c r="H563" s="70"/>
      <c r="I563" s="70"/>
      <c r="J563" s="67"/>
      <c r="K563" s="67"/>
      <c r="L563" s="67"/>
      <c r="M563" s="66" t="str">
        <f aca="false">IF(OR($A563="",$H563&lt;&gt;""),"",Targets!$C$8-$I563)</f>
        <v/>
      </c>
      <c r="N563" s="66" t="str">
        <f aca="false">IF($A563="","",IF(AND($F563="Project",$E563="Active",$M563&lt;&gt;"",$M563&gt;Targets!$C$12),"Yes","No"))</f>
        <v/>
      </c>
      <c r="O563" s="66" t="str">
        <f aca="false">IF($A563="","",IF(AND($G563&gt;=Targets!$C$7,$G563&lt;=Targets!$C$8),"Yes","No"))</f>
        <v/>
      </c>
      <c r="P563" s="66" t="str">
        <f aca="false">IF($A563="","",IF(AND($H563&lt;&gt;"",$H563&gt;=Targets!$C$7,$H563&lt;=Targets!$C$8),"Yes","No"))</f>
        <v/>
      </c>
      <c r="Q563" s="66" t="str">
        <f aca="false">IF($A563="","",IF(AND($F563="Project",$E563&lt;&gt;"Closed",$E563&lt;&gt;"Dormant"),"Yes","No"))</f>
        <v/>
      </c>
      <c r="R563" s="66" t="str">
        <f aca="false">IF($A563="","",IF(AND($L563="In-house",OR($E563="Intake",$E563="Active",$E563="Waiting")),"Yes","No"))</f>
        <v/>
      </c>
      <c r="S563" s="66" t="str">
        <f aca="false">IF($A563="","",$C563&amp;" | "&amp;$D563)</f>
        <v/>
      </c>
      <c r="T563" s="66" t="str">
        <f aca="false">IF($A563="","",IF(AND($L563="Outside provider",OR($E563="Intake",$E563="Active",$E563="Waiting")),"Yes","No"))</f>
        <v/>
      </c>
    </row>
    <row r="564" customFormat="false" ht="15" hidden="false" customHeight="true" outlineLevel="0" collapsed="false">
      <c r="A564" s="63"/>
      <c r="B564" s="63"/>
      <c r="C564" s="63"/>
      <c r="D564" s="63"/>
      <c r="E564" s="63" t="str">
        <f aca="false">IF($A564="","",IFERROR(INDEX('Status map'!$D$6:$D$64,MATCH($C564&amp;" | "&amp;$D564,'Status map'!$I$6:$I$64,0)),"Unmapped"))</f>
        <v/>
      </c>
      <c r="F564" s="63"/>
      <c r="G564" s="69"/>
      <c r="H564" s="69"/>
      <c r="I564" s="69"/>
      <c r="J564" s="63"/>
      <c r="K564" s="63"/>
      <c r="L564" s="63"/>
      <c r="M564" s="66" t="str">
        <f aca="false">IF(OR($A564="",$H564&lt;&gt;""),"",Targets!$C$8-$I564)</f>
        <v/>
      </c>
      <c r="N564" s="66" t="str">
        <f aca="false">IF($A564="","",IF(AND($F564="Project",$E564="Active",$M564&lt;&gt;"",$M564&gt;Targets!$C$12),"Yes","No"))</f>
        <v/>
      </c>
      <c r="O564" s="66" t="str">
        <f aca="false">IF($A564="","",IF(AND($G564&gt;=Targets!$C$7,$G564&lt;=Targets!$C$8),"Yes","No"))</f>
        <v/>
      </c>
      <c r="P564" s="66" t="str">
        <f aca="false">IF($A564="","",IF(AND($H564&lt;&gt;"",$H564&gt;=Targets!$C$7,$H564&lt;=Targets!$C$8),"Yes","No"))</f>
        <v/>
      </c>
      <c r="Q564" s="66" t="str">
        <f aca="false">IF($A564="","",IF(AND($F564="Project",$E564&lt;&gt;"Closed",$E564&lt;&gt;"Dormant"),"Yes","No"))</f>
        <v/>
      </c>
      <c r="R564" s="66" t="str">
        <f aca="false">IF($A564="","",IF(AND($L564="In-house",OR($E564="Intake",$E564="Active",$E564="Waiting")),"Yes","No"))</f>
        <v/>
      </c>
      <c r="S564" s="66" t="str">
        <f aca="false">IF($A564="","",$C564&amp;" | "&amp;$D564)</f>
        <v/>
      </c>
      <c r="T564" s="66" t="str">
        <f aca="false">IF($A564="","",IF(AND($L564="Outside provider",OR($E564="Intake",$E564="Active",$E564="Waiting")),"Yes","No"))</f>
        <v/>
      </c>
    </row>
    <row r="565" customFormat="false" ht="15" hidden="false" customHeight="true" outlineLevel="0" collapsed="false">
      <c r="A565" s="67"/>
      <c r="B565" s="67"/>
      <c r="C565" s="67"/>
      <c r="D565" s="67"/>
      <c r="E565" s="67" t="str">
        <f aca="false">IF($A565="","",IFERROR(INDEX('Status map'!$D$6:$D$64,MATCH($C565&amp;" | "&amp;$D565,'Status map'!$I$6:$I$64,0)),"Unmapped"))</f>
        <v/>
      </c>
      <c r="F565" s="67"/>
      <c r="G565" s="70"/>
      <c r="H565" s="70"/>
      <c r="I565" s="70"/>
      <c r="J565" s="67"/>
      <c r="K565" s="67"/>
      <c r="L565" s="67"/>
      <c r="M565" s="66" t="str">
        <f aca="false">IF(OR($A565="",$H565&lt;&gt;""),"",Targets!$C$8-$I565)</f>
        <v/>
      </c>
      <c r="N565" s="66" t="str">
        <f aca="false">IF($A565="","",IF(AND($F565="Project",$E565="Active",$M565&lt;&gt;"",$M565&gt;Targets!$C$12),"Yes","No"))</f>
        <v/>
      </c>
      <c r="O565" s="66" t="str">
        <f aca="false">IF($A565="","",IF(AND($G565&gt;=Targets!$C$7,$G565&lt;=Targets!$C$8),"Yes","No"))</f>
        <v/>
      </c>
      <c r="P565" s="66" t="str">
        <f aca="false">IF($A565="","",IF(AND($H565&lt;&gt;"",$H565&gt;=Targets!$C$7,$H565&lt;=Targets!$C$8),"Yes","No"))</f>
        <v/>
      </c>
      <c r="Q565" s="66" t="str">
        <f aca="false">IF($A565="","",IF(AND($F565="Project",$E565&lt;&gt;"Closed",$E565&lt;&gt;"Dormant"),"Yes","No"))</f>
        <v/>
      </c>
      <c r="R565" s="66" t="str">
        <f aca="false">IF($A565="","",IF(AND($L565="In-house",OR($E565="Intake",$E565="Active",$E565="Waiting")),"Yes","No"))</f>
        <v/>
      </c>
      <c r="S565" s="66" t="str">
        <f aca="false">IF($A565="","",$C565&amp;" | "&amp;$D565)</f>
        <v/>
      </c>
      <c r="T565" s="66" t="str">
        <f aca="false">IF($A565="","",IF(AND($L565="Outside provider",OR($E565="Intake",$E565="Active",$E565="Waiting")),"Yes","No"))</f>
        <v/>
      </c>
    </row>
    <row r="566" customFormat="false" ht="15" hidden="false" customHeight="true" outlineLevel="0" collapsed="false">
      <c r="A566" s="63"/>
      <c r="B566" s="63"/>
      <c r="C566" s="63"/>
      <c r="D566" s="63"/>
      <c r="E566" s="63" t="str">
        <f aca="false">IF($A566="","",IFERROR(INDEX('Status map'!$D$6:$D$64,MATCH($C566&amp;" | "&amp;$D566,'Status map'!$I$6:$I$64,0)),"Unmapped"))</f>
        <v/>
      </c>
      <c r="F566" s="63"/>
      <c r="G566" s="69"/>
      <c r="H566" s="69"/>
      <c r="I566" s="69"/>
      <c r="J566" s="63"/>
      <c r="K566" s="63"/>
      <c r="L566" s="63"/>
      <c r="M566" s="66" t="str">
        <f aca="false">IF(OR($A566="",$H566&lt;&gt;""),"",Targets!$C$8-$I566)</f>
        <v/>
      </c>
      <c r="N566" s="66" t="str">
        <f aca="false">IF($A566="","",IF(AND($F566="Project",$E566="Active",$M566&lt;&gt;"",$M566&gt;Targets!$C$12),"Yes","No"))</f>
        <v/>
      </c>
      <c r="O566" s="66" t="str">
        <f aca="false">IF($A566="","",IF(AND($G566&gt;=Targets!$C$7,$G566&lt;=Targets!$C$8),"Yes","No"))</f>
        <v/>
      </c>
      <c r="P566" s="66" t="str">
        <f aca="false">IF($A566="","",IF(AND($H566&lt;&gt;"",$H566&gt;=Targets!$C$7,$H566&lt;=Targets!$C$8),"Yes","No"))</f>
        <v/>
      </c>
      <c r="Q566" s="66" t="str">
        <f aca="false">IF($A566="","",IF(AND($F566="Project",$E566&lt;&gt;"Closed",$E566&lt;&gt;"Dormant"),"Yes","No"))</f>
        <v/>
      </c>
      <c r="R566" s="66" t="str">
        <f aca="false">IF($A566="","",IF(AND($L566="In-house",OR($E566="Intake",$E566="Active",$E566="Waiting")),"Yes","No"))</f>
        <v/>
      </c>
      <c r="S566" s="66" t="str">
        <f aca="false">IF($A566="","",$C566&amp;" | "&amp;$D566)</f>
        <v/>
      </c>
      <c r="T566" s="66" t="str">
        <f aca="false">IF($A566="","",IF(AND($L566="Outside provider",OR($E566="Intake",$E566="Active",$E566="Waiting")),"Yes","No"))</f>
        <v/>
      </c>
    </row>
    <row r="567" customFormat="false" ht="15" hidden="false" customHeight="true" outlineLevel="0" collapsed="false">
      <c r="A567" s="67"/>
      <c r="B567" s="67"/>
      <c r="C567" s="67"/>
      <c r="D567" s="67"/>
      <c r="E567" s="67" t="str">
        <f aca="false">IF($A567="","",IFERROR(INDEX('Status map'!$D$6:$D$64,MATCH($C567&amp;" | "&amp;$D567,'Status map'!$I$6:$I$64,0)),"Unmapped"))</f>
        <v/>
      </c>
      <c r="F567" s="67"/>
      <c r="G567" s="70"/>
      <c r="H567" s="70"/>
      <c r="I567" s="70"/>
      <c r="J567" s="67"/>
      <c r="K567" s="67"/>
      <c r="L567" s="67"/>
      <c r="M567" s="66" t="str">
        <f aca="false">IF(OR($A567="",$H567&lt;&gt;""),"",Targets!$C$8-$I567)</f>
        <v/>
      </c>
      <c r="N567" s="66" t="str">
        <f aca="false">IF($A567="","",IF(AND($F567="Project",$E567="Active",$M567&lt;&gt;"",$M567&gt;Targets!$C$12),"Yes","No"))</f>
        <v/>
      </c>
      <c r="O567" s="66" t="str">
        <f aca="false">IF($A567="","",IF(AND($G567&gt;=Targets!$C$7,$G567&lt;=Targets!$C$8),"Yes","No"))</f>
        <v/>
      </c>
      <c r="P567" s="66" t="str">
        <f aca="false">IF($A567="","",IF(AND($H567&lt;&gt;"",$H567&gt;=Targets!$C$7,$H567&lt;=Targets!$C$8),"Yes","No"))</f>
        <v/>
      </c>
      <c r="Q567" s="66" t="str">
        <f aca="false">IF($A567="","",IF(AND($F567="Project",$E567&lt;&gt;"Closed",$E567&lt;&gt;"Dormant"),"Yes","No"))</f>
        <v/>
      </c>
      <c r="R567" s="66" t="str">
        <f aca="false">IF($A567="","",IF(AND($L567="In-house",OR($E567="Intake",$E567="Active",$E567="Waiting")),"Yes","No"))</f>
        <v/>
      </c>
      <c r="S567" s="66" t="str">
        <f aca="false">IF($A567="","",$C567&amp;" | "&amp;$D567)</f>
        <v/>
      </c>
      <c r="T567" s="66" t="str">
        <f aca="false">IF($A567="","",IF(AND($L567="Outside provider",OR($E567="Intake",$E567="Active",$E567="Waiting")),"Yes","No"))</f>
        <v/>
      </c>
    </row>
    <row r="568" customFormat="false" ht="15" hidden="false" customHeight="true" outlineLevel="0" collapsed="false">
      <c r="A568" s="63"/>
      <c r="B568" s="63"/>
      <c r="C568" s="63"/>
      <c r="D568" s="63"/>
      <c r="E568" s="63" t="str">
        <f aca="false">IF($A568="","",IFERROR(INDEX('Status map'!$D$6:$D$64,MATCH($C568&amp;" | "&amp;$D568,'Status map'!$I$6:$I$64,0)),"Unmapped"))</f>
        <v/>
      </c>
      <c r="F568" s="63"/>
      <c r="G568" s="69"/>
      <c r="H568" s="69"/>
      <c r="I568" s="69"/>
      <c r="J568" s="63"/>
      <c r="K568" s="63"/>
      <c r="L568" s="63"/>
      <c r="M568" s="66" t="str">
        <f aca="false">IF(OR($A568="",$H568&lt;&gt;""),"",Targets!$C$8-$I568)</f>
        <v/>
      </c>
      <c r="N568" s="66" t="str">
        <f aca="false">IF($A568="","",IF(AND($F568="Project",$E568="Active",$M568&lt;&gt;"",$M568&gt;Targets!$C$12),"Yes","No"))</f>
        <v/>
      </c>
      <c r="O568" s="66" t="str">
        <f aca="false">IF($A568="","",IF(AND($G568&gt;=Targets!$C$7,$G568&lt;=Targets!$C$8),"Yes","No"))</f>
        <v/>
      </c>
      <c r="P568" s="66" t="str">
        <f aca="false">IF($A568="","",IF(AND($H568&lt;&gt;"",$H568&gt;=Targets!$C$7,$H568&lt;=Targets!$C$8),"Yes","No"))</f>
        <v/>
      </c>
      <c r="Q568" s="66" t="str">
        <f aca="false">IF($A568="","",IF(AND($F568="Project",$E568&lt;&gt;"Closed",$E568&lt;&gt;"Dormant"),"Yes","No"))</f>
        <v/>
      </c>
      <c r="R568" s="66" t="str">
        <f aca="false">IF($A568="","",IF(AND($L568="In-house",OR($E568="Intake",$E568="Active",$E568="Waiting")),"Yes","No"))</f>
        <v/>
      </c>
      <c r="S568" s="66" t="str">
        <f aca="false">IF($A568="","",$C568&amp;" | "&amp;$D568)</f>
        <v/>
      </c>
      <c r="T568" s="66" t="str">
        <f aca="false">IF($A568="","",IF(AND($L568="Outside provider",OR($E568="Intake",$E568="Active",$E568="Waiting")),"Yes","No"))</f>
        <v/>
      </c>
    </row>
    <row r="569" customFormat="false" ht="15" hidden="false" customHeight="true" outlineLevel="0" collapsed="false">
      <c r="A569" s="67"/>
      <c r="B569" s="67"/>
      <c r="C569" s="67"/>
      <c r="D569" s="67"/>
      <c r="E569" s="67" t="str">
        <f aca="false">IF($A569="","",IFERROR(INDEX('Status map'!$D$6:$D$64,MATCH($C569&amp;" | "&amp;$D569,'Status map'!$I$6:$I$64,0)),"Unmapped"))</f>
        <v/>
      </c>
      <c r="F569" s="67"/>
      <c r="G569" s="70"/>
      <c r="H569" s="70"/>
      <c r="I569" s="70"/>
      <c r="J569" s="67"/>
      <c r="K569" s="67"/>
      <c r="L569" s="67"/>
      <c r="M569" s="66" t="str">
        <f aca="false">IF(OR($A569="",$H569&lt;&gt;""),"",Targets!$C$8-$I569)</f>
        <v/>
      </c>
      <c r="N569" s="66" t="str">
        <f aca="false">IF($A569="","",IF(AND($F569="Project",$E569="Active",$M569&lt;&gt;"",$M569&gt;Targets!$C$12),"Yes","No"))</f>
        <v/>
      </c>
      <c r="O569" s="66" t="str">
        <f aca="false">IF($A569="","",IF(AND($G569&gt;=Targets!$C$7,$G569&lt;=Targets!$C$8),"Yes","No"))</f>
        <v/>
      </c>
      <c r="P569" s="66" t="str">
        <f aca="false">IF($A569="","",IF(AND($H569&lt;&gt;"",$H569&gt;=Targets!$C$7,$H569&lt;=Targets!$C$8),"Yes","No"))</f>
        <v/>
      </c>
      <c r="Q569" s="66" t="str">
        <f aca="false">IF($A569="","",IF(AND($F569="Project",$E569&lt;&gt;"Closed",$E569&lt;&gt;"Dormant"),"Yes","No"))</f>
        <v/>
      </c>
      <c r="R569" s="66" t="str">
        <f aca="false">IF($A569="","",IF(AND($L569="In-house",OR($E569="Intake",$E569="Active",$E569="Waiting")),"Yes","No"))</f>
        <v/>
      </c>
      <c r="S569" s="66" t="str">
        <f aca="false">IF($A569="","",$C569&amp;" | "&amp;$D569)</f>
        <v/>
      </c>
      <c r="T569" s="66" t="str">
        <f aca="false">IF($A569="","",IF(AND($L569="Outside provider",OR($E569="Intake",$E569="Active",$E569="Waiting")),"Yes","No"))</f>
        <v/>
      </c>
    </row>
    <row r="570" customFormat="false" ht="15" hidden="false" customHeight="true" outlineLevel="0" collapsed="false">
      <c r="A570" s="63"/>
      <c r="B570" s="63"/>
      <c r="C570" s="63"/>
      <c r="D570" s="63"/>
      <c r="E570" s="63" t="str">
        <f aca="false">IF($A570="","",IFERROR(INDEX('Status map'!$D$6:$D$64,MATCH($C570&amp;" | "&amp;$D570,'Status map'!$I$6:$I$64,0)),"Unmapped"))</f>
        <v/>
      </c>
      <c r="F570" s="63"/>
      <c r="G570" s="69"/>
      <c r="H570" s="69"/>
      <c r="I570" s="69"/>
      <c r="J570" s="63"/>
      <c r="K570" s="63"/>
      <c r="L570" s="63"/>
      <c r="M570" s="66" t="str">
        <f aca="false">IF(OR($A570="",$H570&lt;&gt;""),"",Targets!$C$8-$I570)</f>
        <v/>
      </c>
      <c r="N570" s="66" t="str">
        <f aca="false">IF($A570="","",IF(AND($F570="Project",$E570="Active",$M570&lt;&gt;"",$M570&gt;Targets!$C$12),"Yes","No"))</f>
        <v/>
      </c>
      <c r="O570" s="66" t="str">
        <f aca="false">IF($A570="","",IF(AND($G570&gt;=Targets!$C$7,$G570&lt;=Targets!$C$8),"Yes","No"))</f>
        <v/>
      </c>
      <c r="P570" s="66" t="str">
        <f aca="false">IF($A570="","",IF(AND($H570&lt;&gt;"",$H570&gt;=Targets!$C$7,$H570&lt;=Targets!$C$8),"Yes","No"))</f>
        <v/>
      </c>
      <c r="Q570" s="66" t="str">
        <f aca="false">IF($A570="","",IF(AND($F570="Project",$E570&lt;&gt;"Closed",$E570&lt;&gt;"Dormant"),"Yes","No"))</f>
        <v/>
      </c>
      <c r="R570" s="66" t="str">
        <f aca="false">IF($A570="","",IF(AND($L570="In-house",OR($E570="Intake",$E570="Active",$E570="Waiting")),"Yes","No"))</f>
        <v/>
      </c>
      <c r="S570" s="66" t="str">
        <f aca="false">IF($A570="","",$C570&amp;" | "&amp;$D570)</f>
        <v/>
      </c>
      <c r="T570" s="66" t="str">
        <f aca="false">IF($A570="","",IF(AND($L570="Outside provider",OR($E570="Intake",$E570="Active",$E570="Waiting")),"Yes","No"))</f>
        <v/>
      </c>
    </row>
    <row r="571" customFormat="false" ht="15" hidden="false" customHeight="true" outlineLevel="0" collapsed="false">
      <c r="A571" s="67"/>
      <c r="B571" s="67"/>
      <c r="C571" s="67"/>
      <c r="D571" s="67"/>
      <c r="E571" s="67" t="str">
        <f aca="false">IF($A571="","",IFERROR(INDEX('Status map'!$D$6:$D$64,MATCH($C571&amp;" | "&amp;$D571,'Status map'!$I$6:$I$64,0)),"Unmapped"))</f>
        <v/>
      </c>
      <c r="F571" s="67"/>
      <c r="G571" s="70"/>
      <c r="H571" s="70"/>
      <c r="I571" s="70"/>
      <c r="J571" s="67"/>
      <c r="K571" s="67"/>
      <c r="L571" s="67"/>
      <c r="M571" s="66" t="str">
        <f aca="false">IF(OR($A571="",$H571&lt;&gt;""),"",Targets!$C$8-$I571)</f>
        <v/>
      </c>
      <c r="N571" s="66" t="str">
        <f aca="false">IF($A571="","",IF(AND($F571="Project",$E571="Active",$M571&lt;&gt;"",$M571&gt;Targets!$C$12),"Yes","No"))</f>
        <v/>
      </c>
      <c r="O571" s="66" t="str">
        <f aca="false">IF($A571="","",IF(AND($G571&gt;=Targets!$C$7,$G571&lt;=Targets!$C$8),"Yes","No"))</f>
        <v/>
      </c>
      <c r="P571" s="66" t="str">
        <f aca="false">IF($A571="","",IF(AND($H571&lt;&gt;"",$H571&gt;=Targets!$C$7,$H571&lt;=Targets!$C$8),"Yes","No"))</f>
        <v/>
      </c>
      <c r="Q571" s="66" t="str">
        <f aca="false">IF($A571="","",IF(AND($F571="Project",$E571&lt;&gt;"Closed",$E571&lt;&gt;"Dormant"),"Yes","No"))</f>
        <v/>
      </c>
      <c r="R571" s="66" t="str">
        <f aca="false">IF($A571="","",IF(AND($L571="In-house",OR($E571="Intake",$E571="Active",$E571="Waiting")),"Yes","No"))</f>
        <v/>
      </c>
      <c r="S571" s="66" t="str">
        <f aca="false">IF($A571="","",$C571&amp;" | "&amp;$D571)</f>
        <v/>
      </c>
      <c r="T571" s="66" t="str">
        <f aca="false">IF($A571="","",IF(AND($L571="Outside provider",OR($E571="Intake",$E571="Active",$E571="Waiting")),"Yes","No"))</f>
        <v/>
      </c>
    </row>
    <row r="572" customFormat="false" ht="15" hidden="false" customHeight="true" outlineLevel="0" collapsed="false">
      <c r="A572" s="63"/>
      <c r="B572" s="63"/>
      <c r="C572" s="63"/>
      <c r="D572" s="63"/>
      <c r="E572" s="63" t="str">
        <f aca="false">IF($A572="","",IFERROR(INDEX('Status map'!$D$6:$D$64,MATCH($C572&amp;" | "&amp;$D572,'Status map'!$I$6:$I$64,0)),"Unmapped"))</f>
        <v/>
      </c>
      <c r="F572" s="63"/>
      <c r="G572" s="69"/>
      <c r="H572" s="69"/>
      <c r="I572" s="69"/>
      <c r="J572" s="63"/>
      <c r="K572" s="63"/>
      <c r="L572" s="63"/>
      <c r="M572" s="66" t="str">
        <f aca="false">IF(OR($A572="",$H572&lt;&gt;""),"",Targets!$C$8-$I572)</f>
        <v/>
      </c>
      <c r="N572" s="66" t="str">
        <f aca="false">IF($A572="","",IF(AND($F572="Project",$E572="Active",$M572&lt;&gt;"",$M572&gt;Targets!$C$12),"Yes","No"))</f>
        <v/>
      </c>
      <c r="O572" s="66" t="str">
        <f aca="false">IF($A572="","",IF(AND($G572&gt;=Targets!$C$7,$G572&lt;=Targets!$C$8),"Yes","No"))</f>
        <v/>
      </c>
      <c r="P572" s="66" t="str">
        <f aca="false">IF($A572="","",IF(AND($H572&lt;&gt;"",$H572&gt;=Targets!$C$7,$H572&lt;=Targets!$C$8),"Yes","No"))</f>
        <v/>
      </c>
      <c r="Q572" s="66" t="str">
        <f aca="false">IF($A572="","",IF(AND($F572="Project",$E572&lt;&gt;"Closed",$E572&lt;&gt;"Dormant"),"Yes","No"))</f>
        <v/>
      </c>
      <c r="R572" s="66" t="str">
        <f aca="false">IF($A572="","",IF(AND($L572="In-house",OR($E572="Intake",$E572="Active",$E572="Waiting")),"Yes","No"))</f>
        <v/>
      </c>
      <c r="S572" s="66" t="str">
        <f aca="false">IF($A572="","",$C572&amp;" | "&amp;$D572)</f>
        <v/>
      </c>
      <c r="T572" s="66" t="str">
        <f aca="false">IF($A572="","",IF(AND($L572="Outside provider",OR($E572="Intake",$E572="Active",$E572="Waiting")),"Yes","No"))</f>
        <v/>
      </c>
    </row>
    <row r="573" customFormat="false" ht="15" hidden="false" customHeight="true" outlineLevel="0" collapsed="false">
      <c r="A573" s="67"/>
      <c r="B573" s="67"/>
      <c r="C573" s="67"/>
      <c r="D573" s="67"/>
      <c r="E573" s="67" t="str">
        <f aca="false">IF($A573="","",IFERROR(INDEX('Status map'!$D$6:$D$64,MATCH($C573&amp;" | "&amp;$D573,'Status map'!$I$6:$I$64,0)),"Unmapped"))</f>
        <v/>
      </c>
      <c r="F573" s="67"/>
      <c r="G573" s="70"/>
      <c r="H573" s="70"/>
      <c r="I573" s="70"/>
      <c r="J573" s="67"/>
      <c r="K573" s="67"/>
      <c r="L573" s="67"/>
      <c r="M573" s="66" t="str">
        <f aca="false">IF(OR($A573="",$H573&lt;&gt;""),"",Targets!$C$8-$I573)</f>
        <v/>
      </c>
      <c r="N573" s="66" t="str">
        <f aca="false">IF($A573="","",IF(AND($F573="Project",$E573="Active",$M573&lt;&gt;"",$M573&gt;Targets!$C$12),"Yes","No"))</f>
        <v/>
      </c>
      <c r="O573" s="66" t="str">
        <f aca="false">IF($A573="","",IF(AND($G573&gt;=Targets!$C$7,$G573&lt;=Targets!$C$8),"Yes","No"))</f>
        <v/>
      </c>
      <c r="P573" s="66" t="str">
        <f aca="false">IF($A573="","",IF(AND($H573&lt;&gt;"",$H573&gt;=Targets!$C$7,$H573&lt;=Targets!$C$8),"Yes","No"))</f>
        <v/>
      </c>
      <c r="Q573" s="66" t="str">
        <f aca="false">IF($A573="","",IF(AND($F573="Project",$E573&lt;&gt;"Closed",$E573&lt;&gt;"Dormant"),"Yes","No"))</f>
        <v/>
      </c>
      <c r="R573" s="66" t="str">
        <f aca="false">IF($A573="","",IF(AND($L573="In-house",OR($E573="Intake",$E573="Active",$E573="Waiting")),"Yes","No"))</f>
        <v/>
      </c>
      <c r="S573" s="66" t="str">
        <f aca="false">IF($A573="","",$C573&amp;" | "&amp;$D573)</f>
        <v/>
      </c>
      <c r="T573" s="66" t="str">
        <f aca="false">IF($A573="","",IF(AND($L573="Outside provider",OR($E573="Intake",$E573="Active",$E573="Waiting")),"Yes","No"))</f>
        <v/>
      </c>
    </row>
    <row r="574" customFormat="false" ht="15" hidden="false" customHeight="true" outlineLevel="0" collapsed="false">
      <c r="A574" s="63"/>
      <c r="B574" s="63"/>
      <c r="C574" s="63"/>
      <c r="D574" s="63"/>
      <c r="E574" s="63" t="str">
        <f aca="false">IF($A574="","",IFERROR(INDEX('Status map'!$D$6:$D$64,MATCH($C574&amp;" | "&amp;$D574,'Status map'!$I$6:$I$64,0)),"Unmapped"))</f>
        <v/>
      </c>
      <c r="F574" s="63"/>
      <c r="G574" s="69"/>
      <c r="H574" s="69"/>
      <c r="I574" s="69"/>
      <c r="J574" s="63"/>
      <c r="K574" s="63"/>
      <c r="L574" s="63"/>
      <c r="M574" s="66" t="str">
        <f aca="false">IF(OR($A574="",$H574&lt;&gt;""),"",Targets!$C$8-$I574)</f>
        <v/>
      </c>
      <c r="N574" s="66" t="str">
        <f aca="false">IF($A574="","",IF(AND($F574="Project",$E574="Active",$M574&lt;&gt;"",$M574&gt;Targets!$C$12),"Yes","No"))</f>
        <v/>
      </c>
      <c r="O574" s="66" t="str">
        <f aca="false">IF($A574="","",IF(AND($G574&gt;=Targets!$C$7,$G574&lt;=Targets!$C$8),"Yes","No"))</f>
        <v/>
      </c>
      <c r="P574" s="66" t="str">
        <f aca="false">IF($A574="","",IF(AND($H574&lt;&gt;"",$H574&gt;=Targets!$C$7,$H574&lt;=Targets!$C$8),"Yes","No"))</f>
        <v/>
      </c>
      <c r="Q574" s="66" t="str">
        <f aca="false">IF($A574="","",IF(AND($F574="Project",$E574&lt;&gt;"Closed",$E574&lt;&gt;"Dormant"),"Yes","No"))</f>
        <v/>
      </c>
      <c r="R574" s="66" t="str">
        <f aca="false">IF($A574="","",IF(AND($L574="In-house",OR($E574="Intake",$E574="Active",$E574="Waiting")),"Yes","No"))</f>
        <v/>
      </c>
      <c r="S574" s="66" t="str">
        <f aca="false">IF($A574="","",$C574&amp;" | "&amp;$D574)</f>
        <v/>
      </c>
      <c r="T574" s="66" t="str">
        <f aca="false">IF($A574="","",IF(AND($L574="Outside provider",OR($E574="Intake",$E574="Active",$E574="Waiting")),"Yes","No"))</f>
        <v/>
      </c>
    </row>
    <row r="575" customFormat="false" ht="15" hidden="false" customHeight="true" outlineLevel="0" collapsed="false">
      <c r="A575" s="67"/>
      <c r="B575" s="67"/>
      <c r="C575" s="67"/>
      <c r="D575" s="67"/>
      <c r="E575" s="67" t="str">
        <f aca="false">IF($A575="","",IFERROR(INDEX('Status map'!$D$6:$D$64,MATCH($C575&amp;" | "&amp;$D575,'Status map'!$I$6:$I$64,0)),"Unmapped"))</f>
        <v/>
      </c>
      <c r="F575" s="67"/>
      <c r="G575" s="70"/>
      <c r="H575" s="70"/>
      <c r="I575" s="70"/>
      <c r="J575" s="67"/>
      <c r="K575" s="67"/>
      <c r="L575" s="67"/>
      <c r="M575" s="66" t="str">
        <f aca="false">IF(OR($A575="",$H575&lt;&gt;""),"",Targets!$C$8-$I575)</f>
        <v/>
      </c>
      <c r="N575" s="66" t="str">
        <f aca="false">IF($A575="","",IF(AND($F575="Project",$E575="Active",$M575&lt;&gt;"",$M575&gt;Targets!$C$12),"Yes","No"))</f>
        <v/>
      </c>
      <c r="O575" s="66" t="str">
        <f aca="false">IF($A575="","",IF(AND($G575&gt;=Targets!$C$7,$G575&lt;=Targets!$C$8),"Yes","No"))</f>
        <v/>
      </c>
      <c r="P575" s="66" t="str">
        <f aca="false">IF($A575="","",IF(AND($H575&lt;&gt;"",$H575&gt;=Targets!$C$7,$H575&lt;=Targets!$C$8),"Yes","No"))</f>
        <v/>
      </c>
      <c r="Q575" s="66" t="str">
        <f aca="false">IF($A575="","",IF(AND($F575="Project",$E575&lt;&gt;"Closed",$E575&lt;&gt;"Dormant"),"Yes","No"))</f>
        <v/>
      </c>
      <c r="R575" s="66" t="str">
        <f aca="false">IF($A575="","",IF(AND($L575="In-house",OR($E575="Intake",$E575="Active",$E575="Waiting")),"Yes","No"))</f>
        <v/>
      </c>
      <c r="S575" s="66" t="str">
        <f aca="false">IF($A575="","",$C575&amp;" | "&amp;$D575)</f>
        <v/>
      </c>
      <c r="T575" s="66" t="str">
        <f aca="false">IF($A575="","",IF(AND($L575="Outside provider",OR($E575="Intake",$E575="Active",$E575="Waiting")),"Yes","No"))</f>
        <v/>
      </c>
    </row>
    <row r="576" customFormat="false" ht="15" hidden="false" customHeight="true" outlineLevel="0" collapsed="false">
      <c r="A576" s="63"/>
      <c r="B576" s="63"/>
      <c r="C576" s="63"/>
      <c r="D576" s="63"/>
      <c r="E576" s="63" t="str">
        <f aca="false">IF($A576="","",IFERROR(INDEX('Status map'!$D$6:$D$64,MATCH($C576&amp;" | "&amp;$D576,'Status map'!$I$6:$I$64,0)),"Unmapped"))</f>
        <v/>
      </c>
      <c r="F576" s="63"/>
      <c r="G576" s="69"/>
      <c r="H576" s="69"/>
      <c r="I576" s="69"/>
      <c r="J576" s="63"/>
      <c r="K576" s="63"/>
      <c r="L576" s="63"/>
      <c r="M576" s="66" t="str">
        <f aca="false">IF(OR($A576="",$H576&lt;&gt;""),"",Targets!$C$8-$I576)</f>
        <v/>
      </c>
      <c r="N576" s="66" t="str">
        <f aca="false">IF($A576="","",IF(AND($F576="Project",$E576="Active",$M576&lt;&gt;"",$M576&gt;Targets!$C$12),"Yes","No"))</f>
        <v/>
      </c>
      <c r="O576" s="66" t="str">
        <f aca="false">IF($A576="","",IF(AND($G576&gt;=Targets!$C$7,$G576&lt;=Targets!$C$8),"Yes","No"))</f>
        <v/>
      </c>
      <c r="P576" s="66" t="str">
        <f aca="false">IF($A576="","",IF(AND($H576&lt;&gt;"",$H576&gt;=Targets!$C$7,$H576&lt;=Targets!$C$8),"Yes","No"))</f>
        <v/>
      </c>
      <c r="Q576" s="66" t="str">
        <f aca="false">IF($A576="","",IF(AND($F576="Project",$E576&lt;&gt;"Closed",$E576&lt;&gt;"Dormant"),"Yes","No"))</f>
        <v/>
      </c>
      <c r="R576" s="66" t="str">
        <f aca="false">IF($A576="","",IF(AND($L576="In-house",OR($E576="Intake",$E576="Active",$E576="Waiting")),"Yes","No"))</f>
        <v/>
      </c>
      <c r="S576" s="66" t="str">
        <f aca="false">IF($A576="","",$C576&amp;" | "&amp;$D576)</f>
        <v/>
      </c>
      <c r="T576" s="66" t="str">
        <f aca="false">IF($A576="","",IF(AND($L576="Outside provider",OR($E576="Intake",$E576="Active",$E576="Waiting")),"Yes","No"))</f>
        <v/>
      </c>
    </row>
    <row r="577" customFormat="false" ht="15" hidden="false" customHeight="true" outlineLevel="0" collapsed="false">
      <c r="A577" s="67"/>
      <c r="B577" s="67"/>
      <c r="C577" s="67"/>
      <c r="D577" s="67"/>
      <c r="E577" s="67" t="str">
        <f aca="false">IF($A577="","",IFERROR(INDEX('Status map'!$D$6:$D$64,MATCH($C577&amp;" | "&amp;$D577,'Status map'!$I$6:$I$64,0)),"Unmapped"))</f>
        <v/>
      </c>
      <c r="F577" s="67"/>
      <c r="G577" s="70"/>
      <c r="H577" s="70"/>
      <c r="I577" s="70"/>
      <c r="J577" s="67"/>
      <c r="K577" s="67"/>
      <c r="L577" s="67"/>
      <c r="M577" s="66" t="str">
        <f aca="false">IF(OR($A577="",$H577&lt;&gt;""),"",Targets!$C$8-$I577)</f>
        <v/>
      </c>
      <c r="N577" s="66" t="str">
        <f aca="false">IF($A577="","",IF(AND($F577="Project",$E577="Active",$M577&lt;&gt;"",$M577&gt;Targets!$C$12),"Yes","No"))</f>
        <v/>
      </c>
      <c r="O577" s="66" t="str">
        <f aca="false">IF($A577="","",IF(AND($G577&gt;=Targets!$C$7,$G577&lt;=Targets!$C$8),"Yes","No"))</f>
        <v/>
      </c>
      <c r="P577" s="66" t="str">
        <f aca="false">IF($A577="","",IF(AND($H577&lt;&gt;"",$H577&gt;=Targets!$C$7,$H577&lt;=Targets!$C$8),"Yes","No"))</f>
        <v/>
      </c>
      <c r="Q577" s="66" t="str">
        <f aca="false">IF($A577="","",IF(AND($F577="Project",$E577&lt;&gt;"Closed",$E577&lt;&gt;"Dormant"),"Yes","No"))</f>
        <v/>
      </c>
      <c r="R577" s="66" t="str">
        <f aca="false">IF($A577="","",IF(AND($L577="In-house",OR($E577="Intake",$E577="Active",$E577="Waiting")),"Yes","No"))</f>
        <v/>
      </c>
      <c r="S577" s="66" t="str">
        <f aca="false">IF($A577="","",$C577&amp;" | "&amp;$D577)</f>
        <v/>
      </c>
      <c r="T577" s="66" t="str">
        <f aca="false">IF($A577="","",IF(AND($L577="Outside provider",OR($E577="Intake",$E577="Active",$E577="Waiting")),"Yes","No"))</f>
        <v/>
      </c>
    </row>
    <row r="578" customFormat="false" ht="15" hidden="false" customHeight="true" outlineLevel="0" collapsed="false">
      <c r="A578" s="63"/>
      <c r="B578" s="63"/>
      <c r="C578" s="63"/>
      <c r="D578" s="63"/>
      <c r="E578" s="63" t="str">
        <f aca="false">IF($A578="","",IFERROR(INDEX('Status map'!$D$6:$D$64,MATCH($C578&amp;" | "&amp;$D578,'Status map'!$I$6:$I$64,0)),"Unmapped"))</f>
        <v/>
      </c>
      <c r="F578" s="63"/>
      <c r="G578" s="69"/>
      <c r="H578" s="69"/>
      <c r="I578" s="69"/>
      <c r="J578" s="63"/>
      <c r="K578" s="63"/>
      <c r="L578" s="63"/>
      <c r="M578" s="66" t="str">
        <f aca="false">IF(OR($A578="",$H578&lt;&gt;""),"",Targets!$C$8-$I578)</f>
        <v/>
      </c>
      <c r="N578" s="66" t="str">
        <f aca="false">IF($A578="","",IF(AND($F578="Project",$E578="Active",$M578&lt;&gt;"",$M578&gt;Targets!$C$12),"Yes","No"))</f>
        <v/>
      </c>
      <c r="O578" s="66" t="str">
        <f aca="false">IF($A578="","",IF(AND($G578&gt;=Targets!$C$7,$G578&lt;=Targets!$C$8),"Yes","No"))</f>
        <v/>
      </c>
      <c r="P578" s="66" t="str">
        <f aca="false">IF($A578="","",IF(AND($H578&lt;&gt;"",$H578&gt;=Targets!$C$7,$H578&lt;=Targets!$C$8),"Yes","No"))</f>
        <v/>
      </c>
      <c r="Q578" s="66" t="str">
        <f aca="false">IF($A578="","",IF(AND($F578="Project",$E578&lt;&gt;"Closed",$E578&lt;&gt;"Dormant"),"Yes","No"))</f>
        <v/>
      </c>
      <c r="R578" s="66" t="str">
        <f aca="false">IF($A578="","",IF(AND($L578="In-house",OR($E578="Intake",$E578="Active",$E578="Waiting")),"Yes","No"))</f>
        <v/>
      </c>
      <c r="S578" s="66" t="str">
        <f aca="false">IF($A578="","",$C578&amp;" | "&amp;$D578)</f>
        <v/>
      </c>
      <c r="T578" s="66" t="str">
        <f aca="false">IF($A578="","",IF(AND($L578="Outside provider",OR($E578="Intake",$E578="Active",$E578="Waiting")),"Yes","No"))</f>
        <v/>
      </c>
    </row>
    <row r="579" customFormat="false" ht="15" hidden="false" customHeight="true" outlineLevel="0" collapsed="false">
      <c r="A579" s="67"/>
      <c r="B579" s="67"/>
      <c r="C579" s="67"/>
      <c r="D579" s="67"/>
      <c r="E579" s="67" t="str">
        <f aca="false">IF($A579="","",IFERROR(INDEX('Status map'!$D$6:$D$64,MATCH($C579&amp;" | "&amp;$D579,'Status map'!$I$6:$I$64,0)),"Unmapped"))</f>
        <v/>
      </c>
      <c r="F579" s="67"/>
      <c r="G579" s="70"/>
      <c r="H579" s="70"/>
      <c r="I579" s="70"/>
      <c r="J579" s="67"/>
      <c r="K579" s="67"/>
      <c r="L579" s="67"/>
      <c r="M579" s="66" t="str">
        <f aca="false">IF(OR($A579="",$H579&lt;&gt;""),"",Targets!$C$8-$I579)</f>
        <v/>
      </c>
      <c r="N579" s="66" t="str">
        <f aca="false">IF($A579="","",IF(AND($F579="Project",$E579="Active",$M579&lt;&gt;"",$M579&gt;Targets!$C$12),"Yes","No"))</f>
        <v/>
      </c>
      <c r="O579" s="66" t="str">
        <f aca="false">IF($A579="","",IF(AND($G579&gt;=Targets!$C$7,$G579&lt;=Targets!$C$8),"Yes","No"))</f>
        <v/>
      </c>
      <c r="P579" s="66" t="str">
        <f aca="false">IF($A579="","",IF(AND($H579&lt;&gt;"",$H579&gt;=Targets!$C$7,$H579&lt;=Targets!$C$8),"Yes","No"))</f>
        <v/>
      </c>
      <c r="Q579" s="66" t="str">
        <f aca="false">IF($A579="","",IF(AND($F579="Project",$E579&lt;&gt;"Closed",$E579&lt;&gt;"Dormant"),"Yes","No"))</f>
        <v/>
      </c>
      <c r="R579" s="66" t="str">
        <f aca="false">IF($A579="","",IF(AND($L579="In-house",OR($E579="Intake",$E579="Active",$E579="Waiting")),"Yes","No"))</f>
        <v/>
      </c>
      <c r="S579" s="66" t="str">
        <f aca="false">IF($A579="","",$C579&amp;" | "&amp;$D579)</f>
        <v/>
      </c>
      <c r="T579" s="66" t="str">
        <f aca="false">IF($A579="","",IF(AND($L579="Outside provider",OR($E579="Intake",$E579="Active",$E579="Waiting")),"Yes","No"))</f>
        <v/>
      </c>
    </row>
    <row r="580" customFormat="false" ht="15" hidden="false" customHeight="true" outlineLevel="0" collapsed="false">
      <c r="A580" s="63"/>
      <c r="B580" s="63"/>
      <c r="C580" s="63"/>
      <c r="D580" s="63"/>
      <c r="E580" s="63" t="str">
        <f aca="false">IF($A580="","",IFERROR(INDEX('Status map'!$D$6:$D$64,MATCH($C580&amp;" | "&amp;$D580,'Status map'!$I$6:$I$64,0)),"Unmapped"))</f>
        <v/>
      </c>
      <c r="F580" s="63"/>
      <c r="G580" s="69"/>
      <c r="H580" s="69"/>
      <c r="I580" s="69"/>
      <c r="J580" s="63"/>
      <c r="K580" s="63"/>
      <c r="L580" s="63"/>
      <c r="M580" s="66" t="str">
        <f aca="false">IF(OR($A580="",$H580&lt;&gt;""),"",Targets!$C$8-$I580)</f>
        <v/>
      </c>
      <c r="N580" s="66" t="str">
        <f aca="false">IF($A580="","",IF(AND($F580="Project",$E580="Active",$M580&lt;&gt;"",$M580&gt;Targets!$C$12),"Yes","No"))</f>
        <v/>
      </c>
      <c r="O580" s="66" t="str">
        <f aca="false">IF($A580="","",IF(AND($G580&gt;=Targets!$C$7,$G580&lt;=Targets!$C$8),"Yes","No"))</f>
        <v/>
      </c>
      <c r="P580" s="66" t="str">
        <f aca="false">IF($A580="","",IF(AND($H580&lt;&gt;"",$H580&gt;=Targets!$C$7,$H580&lt;=Targets!$C$8),"Yes","No"))</f>
        <v/>
      </c>
      <c r="Q580" s="66" t="str">
        <f aca="false">IF($A580="","",IF(AND($F580="Project",$E580&lt;&gt;"Closed",$E580&lt;&gt;"Dormant"),"Yes","No"))</f>
        <v/>
      </c>
      <c r="R580" s="66" t="str">
        <f aca="false">IF($A580="","",IF(AND($L580="In-house",OR($E580="Intake",$E580="Active",$E580="Waiting")),"Yes","No"))</f>
        <v/>
      </c>
      <c r="S580" s="66" t="str">
        <f aca="false">IF($A580="","",$C580&amp;" | "&amp;$D580)</f>
        <v/>
      </c>
      <c r="T580" s="66" t="str">
        <f aca="false">IF($A580="","",IF(AND($L580="Outside provider",OR($E580="Intake",$E580="Active",$E580="Waiting")),"Yes","No"))</f>
        <v/>
      </c>
    </row>
    <row r="581" customFormat="false" ht="15" hidden="false" customHeight="true" outlineLevel="0" collapsed="false">
      <c r="A581" s="67"/>
      <c r="B581" s="67"/>
      <c r="C581" s="67"/>
      <c r="D581" s="67"/>
      <c r="E581" s="67" t="str">
        <f aca="false">IF($A581="","",IFERROR(INDEX('Status map'!$D$6:$D$64,MATCH($C581&amp;" | "&amp;$D581,'Status map'!$I$6:$I$64,0)),"Unmapped"))</f>
        <v/>
      </c>
      <c r="F581" s="67"/>
      <c r="G581" s="70"/>
      <c r="H581" s="70"/>
      <c r="I581" s="70"/>
      <c r="J581" s="67"/>
      <c r="K581" s="67"/>
      <c r="L581" s="67"/>
      <c r="M581" s="66" t="str">
        <f aca="false">IF(OR($A581="",$H581&lt;&gt;""),"",Targets!$C$8-$I581)</f>
        <v/>
      </c>
      <c r="N581" s="66" t="str">
        <f aca="false">IF($A581="","",IF(AND($F581="Project",$E581="Active",$M581&lt;&gt;"",$M581&gt;Targets!$C$12),"Yes","No"))</f>
        <v/>
      </c>
      <c r="O581" s="66" t="str">
        <f aca="false">IF($A581="","",IF(AND($G581&gt;=Targets!$C$7,$G581&lt;=Targets!$C$8),"Yes","No"))</f>
        <v/>
      </c>
      <c r="P581" s="66" t="str">
        <f aca="false">IF($A581="","",IF(AND($H581&lt;&gt;"",$H581&gt;=Targets!$C$7,$H581&lt;=Targets!$C$8),"Yes","No"))</f>
        <v/>
      </c>
      <c r="Q581" s="66" t="str">
        <f aca="false">IF($A581="","",IF(AND($F581="Project",$E581&lt;&gt;"Closed",$E581&lt;&gt;"Dormant"),"Yes","No"))</f>
        <v/>
      </c>
      <c r="R581" s="66" t="str">
        <f aca="false">IF($A581="","",IF(AND($L581="In-house",OR($E581="Intake",$E581="Active",$E581="Waiting")),"Yes","No"))</f>
        <v/>
      </c>
      <c r="S581" s="66" t="str">
        <f aca="false">IF($A581="","",$C581&amp;" | "&amp;$D581)</f>
        <v/>
      </c>
      <c r="T581" s="66" t="str">
        <f aca="false">IF($A581="","",IF(AND($L581="Outside provider",OR($E581="Intake",$E581="Active",$E581="Waiting")),"Yes","No"))</f>
        <v/>
      </c>
    </row>
    <row r="582" customFormat="false" ht="15" hidden="false" customHeight="true" outlineLevel="0" collapsed="false">
      <c r="A582" s="63"/>
      <c r="B582" s="63"/>
      <c r="C582" s="63"/>
      <c r="D582" s="63"/>
      <c r="E582" s="63" t="str">
        <f aca="false">IF($A582="","",IFERROR(INDEX('Status map'!$D$6:$D$64,MATCH($C582&amp;" | "&amp;$D582,'Status map'!$I$6:$I$64,0)),"Unmapped"))</f>
        <v/>
      </c>
      <c r="F582" s="63"/>
      <c r="G582" s="69"/>
      <c r="H582" s="69"/>
      <c r="I582" s="69"/>
      <c r="J582" s="63"/>
      <c r="K582" s="63"/>
      <c r="L582" s="63"/>
      <c r="M582" s="66" t="str">
        <f aca="false">IF(OR($A582="",$H582&lt;&gt;""),"",Targets!$C$8-$I582)</f>
        <v/>
      </c>
      <c r="N582" s="66" t="str">
        <f aca="false">IF($A582="","",IF(AND($F582="Project",$E582="Active",$M582&lt;&gt;"",$M582&gt;Targets!$C$12),"Yes","No"))</f>
        <v/>
      </c>
      <c r="O582" s="66" t="str">
        <f aca="false">IF($A582="","",IF(AND($G582&gt;=Targets!$C$7,$G582&lt;=Targets!$C$8),"Yes","No"))</f>
        <v/>
      </c>
      <c r="P582" s="66" t="str">
        <f aca="false">IF($A582="","",IF(AND($H582&lt;&gt;"",$H582&gt;=Targets!$C$7,$H582&lt;=Targets!$C$8),"Yes","No"))</f>
        <v/>
      </c>
      <c r="Q582" s="66" t="str">
        <f aca="false">IF($A582="","",IF(AND($F582="Project",$E582&lt;&gt;"Closed",$E582&lt;&gt;"Dormant"),"Yes","No"))</f>
        <v/>
      </c>
      <c r="R582" s="66" t="str">
        <f aca="false">IF($A582="","",IF(AND($L582="In-house",OR($E582="Intake",$E582="Active",$E582="Waiting")),"Yes","No"))</f>
        <v/>
      </c>
      <c r="S582" s="66" t="str">
        <f aca="false">IF($A582="","",$C582&amp;" | "&amp;$D582)</f>
        <v/>
      </c>
      <c r="T582" s="66" t="str">
        <f aca="false">IF($A582="","",IF(AND($L582="Outside provider",OR($E582="Intake",$E582="Active",$E582="Waiting")),"Yes","No"))</f>
        <v/>
      </c>
    </row>
    <row r="583" customFormat="false" ht="15" hidden="false" customHeight="true" outlineLevel="0" collapsed="false">
      <c r="A583" s="67"/>
      <c r="B583" s="67"/>
      <c r="C583" s="67"/>
      <c r="D583" s="67"/>
      <c r="E583" s="67" t="str">
        <f aca="false">IF($A583="","",IFERROR(INDEX('Status map'!$D$6:$D$64,MATCH($C583&amp;" | "&amp;$D583,'Status map'!$I$6:$I$64,0)),"Unmapped"))</f>
        <v/>
      </c>
      <c r="F583" s="67"/>
      <c r="G583" s="70"/>
      <c r="H583" s="70"/>
      <c r="I583" s="70"/>
      <c r="J583" s="67"/>
      <c r="K583" s="67"/>
      <c r="L583" s="67"/>
      <c r="M583" s="66" t="str">
        <f aca="false">IF(OR($A583="",$H583&lt;&gt;""),"",Targets!$C$8-$I583)</f>
        <v/>
      </c>
      <c r="N583" s="66" t="str">
        <f aca="false">IF($A583="","",IF(AND($F583="Project",$E583="Active",$M583&lt;&gt;"",$M583&gt;Targets!$C$12),"Yes","No"))</f>
        <v/>
      </c>
      <c r="O583" s="66" t="str">
        <f aca="false">IF($A583="","",IF(AND($G583&gt;=Targets!$C$7,$G583&lt;=Targets!$C$8),"Yes","No"))</f>
        <v/>
      </c>
      <c r="P583" s="66" t="str">
        <f aca="false">IF($A583="","",IF(AND($H583&lt;&gt;"",$H583&gt;=Targets!$C$7,$H583&lt;=Targets!$C$8),"Yes","No"))</f>
        <v/>
      </c>
      <c r="Q583" s="66" t="str">
        <f aca="false">IF($A583="","",IF(AND($F583="Project",$E583&lt;&gt;"Closed",$E583&lt;&gt;"Dormant"),"Yes","No"))</f>
        <v/>
      </c>
      <c r="R583" s="66" t="str">
        <f aca="false">IF($A583="","",IF(AND($L583="In-house",OR($E583="Intake",$E583="Active",$E583="Waiting")),"Yes","No"))</f>
        <v/>
      </c>
      <c r="S583" s="66" t="str">
        <f aca="false">IF($A583="","",$C583&amp;" | "&amp;$D583)</f>
        <v/>
      </c>
      <c r="T583" s="66" t="str">
        <f aca="false">IF($A583="","",IF(AND($L583="Outside provider",OR($E583="Intake",$E583="Active",$E583="Waiting")),"Yes","No"))</f>
        <v/>
      </c>
    </row>
    <row r="584" customFormat="false" ht="15" hidden="false" customHeight="true" outlineLevel="0" collapsed="false">
      <c r="A584" s="63"/>
      <c r="B584" s="63"/>
      <c r="C584" s="63"/>
      <c r="D584" s="63"/>
      <c r="E584" s="63" t="str">
        <f aca="false">IF($A584="","",IFERROR(INDEX('Status map'!$D$6:$D$64,MATCH($C584&amp;" | "&amp;$D584,'Status map'!$I$6:$I$64,0)),"Unmapped"))</f>
        <v/>
      </c>
      <c r="F584" s="63"/>
      <c r="G584" s="69"/>
      <c r="H584" s="69"/>
      <c r="I584" s="69"/>
      <c r="J584" s="63"/>
      <c r="K584" s="63"/>
      <c r="L584" s="63"/>
      <c r="M584" s="66" t="str">
        <f aca="false">IF(OR($A584="",$H584&lt;&gt;""),"",Targets!$C$8-$I584)</f>
        <v/>
      </c>
      <c r="N584" s="66" t="str">
        <f aca="false">IF($A584="","",IF(AND($F584="Project",$E584="Active",$M584&lt;&gt;"",$M584&gt;Targets!$C$12),"Yes","No"))</f>
        <v/>
      </c>
      <c r="O584" s="66" t="str">
        <f aca="false">IF($A584="","",IF(AND($G584&gt;=Targets!$C$7,$G584&lt;=Targets!$C$8),"Yes","No"))</f>
        <v/>
      </c>
      <c r="P584" s="66" t="str">
        <f aca="false">IF($A584="","",IF(AND($H584&lt;&gt;"",$H584&gt;=Targets!$C$7,$H584&lt;=Targets!$C$8),"Yes","No"))</f>
        <v/>
      </c>
      <c r="Q584" s="66" t="str">
        <f aca="false">IF($A584="","",IF(AND($F584="Project",$E584&lt;&gt;"Closed",$E584&lt;&gt;"Dormant"),"Yes","No"))</f>
        <v/>
      </c>
      <c r="R584" s="66" t="str">
        <f aca="false">IF($A584="","",IF(AND($L584="In-house",OR($E584="Intake",$E584="Active",$E584="Waiting")),"Yes","No"))</f>
        <v/>
      </c>
      <c r="S584" s="66" t="str">
        <f aca="false">IF($A584="","",$C584&amp;" | "&amp;$D584)</f>
        <v/>
      </c>
      <c r="T584" s="66" t="str">
        <f aca="false">IF($A584="","",IF(AND($L584="Outside provider",OR($E584="Intake",$E584="Active",$E584="Waiting")),"Yes","No"))</f>
        <v/>
      </c>
    </row>
    <row r="585" customFormat="false" ht="15" hidden="false" customHeight="true" outlineLevel="0" collapsed="false">
      <c r="A585" s="67"/>
      <c r="B585" s="67"/>
      <c r="C585" s="67"/>
      <c r="D585" s="67"/>
      <c r="E585" s="67" t="str">
        <f aca="false">IF($A585="","",IFERROR(INDEX('Status map'!$D$6:$D$64,MATCH($C585&amp;" | "&amp;$D585,'Status map'!$I$6:$I$64,0)),"Unmapped"))</f>
        <v/>
      </c>
      <c r="F585" s="67"/>
      <c r="G585" s="70"/>
      <c r="H585" s="70"/>
      <c r="I585" s="70"/>
      <c r="J585" s="67"/>
      <c r="K585" s="67"/>
      <c r="L585" s="67"/>
      <c r="M585" s="66" t="str">
        <f aca="false">IF(OR($A585="",$H585&lt;&gt;""),"",Targets!$C$8-$I585)</f>
        <v/>
      </c>
      <c r="N585" s="66" t="str">
        <f aca="false">IF($A585="","",IF(AND($F585="Project",$E585="Active",$M585&lt;&gt;"",$M585&gt;Targets!$C$12),"Yes","No"))</f>
        <v/>
      </c>
      <c r="O585" s="66" t="str">
        <f aca="false">IF($A585="","",IF(AND($G585&gt;=Targets!$C$7,$G585&lt;=Targets!$C$8),"Yes","No"))</f>
        <v/>
      </c>
      <c r="P585" s="66" t="str">
        <f aca="false">IF($A585="","",IF(AND($H585&lt;&gt;"",$H585&gt;=Targets!$C$7,$H585&lt;=Targets!$C$8),"Yes","No"))</f>
        <v/>
      </c>
      <c r="Q585" s="66" t="str">
        <f aca="false">IF($A585="","",IF(AND($F585="Project",$E585&lt;&gt;"Closed",$E585&lt;&gt;"Dormant"),"Yes","No"))</f>
        <v/>
      </c>
      <c r="R585" s="66" t="str">
        <f aca="false">IF($A585="","",IF(AND($L585="In-house",OR($E585="Intake",$E585="Active",$E585="Waiting")),"Yes","No"))</f>
        <v/>
      </c>
      <c r="S585" s="66" t="str">
        <f aca="false">IF($A585="","",$C585&amp;" | "&amp;$D585)</f>
        <v/>
      </c>
      <c r="T585" s="66" t="str">
        <f aca="false">IF($A585="","",IF(AND($L585="Outside provider",OR($E585="Intake",$E585="Active",$E585="Waiting")),"Yes","No"))</f>
        <v/>
      </c>
    </row>
    <row r="586" customFormat="false" ht="15" hidden="false" customHeight="true" outlineLevel="0" collapsed="false">
      <c r="A586" s="63"/>
      <c r="B586" s="63"/>
      <c r="C586" s="63"/>
      <c r="D586" s="63"/>
      <c r="E586" s="63" t="str">
        <f aca="false">IF($A586="","",IFERROR(INDEX('Status map'!$D$6:$D$64,MATCH($C586&amp;" | "&amp;$D586,'Status map'!$I$6:$I$64,0)),"Unmapped"))</f>
        <v/>
      </c>
      <c r="F586" s="63"/>
      <c r="G586" s="69"/>
      <c r="H586" s="69"/>
      <c r="I586" s="69"/>
      <c r="J586" s="63"/>
      <c r="K586" s="63"/>
      <c r="L586" s="63"/>
      <c r="M586" s="66" t="str">
        <f aca="false">IF(OR($A586="",$H586&lt;&gt;""),"",Targets!$C$8-$I586)</f>
        <v/>
      </c>
      <c r="N586" s="66" t="str">
        <f aca="false">IF($A586="","",IF(AND($F586="Project",$E586="Active",$M586&lt;&gt;"",$M586&gt;Targets!$C$12),"Yes","No"))</f>
        <v/>
      </c>
      <c r="O586" s="66" t="str">
        <f aca="false">IF($A586="","",IF(AND($G586&gt;=Targets!$C$7,$G586&lt;=Targets!$C$8),"Yes","No"))</f>
        <v/>
      </c>
      <c r="P586" s="66" t="str">
        <f aca="false">IF($A586="","",IF(AND($H586&lt;&gt;"",$H586&gt;=Targets!$C$7,$H586&lt;=Targets!$C$8),"Yes","No"))</f>
        <v/>
      </c>
      <c r="Q586" s="66" t="str">
        <f aca="false">IF($A586="","",IF(AND($F586="Project",$E586&lt;&gt;"Closed",$E586&lt;&gt;"Dormant"),"Yes","No"))</f>
        <v/>
      </c>
      <c r="R586" s="66" t="str">
        <f aca="false">IF($A586="","",IF(AND($L586="In-house",OR($E586="Intake",$E586="Active",$E586="Waiting")),"Yes","No"))</f>
        <v/>
      </c>
      <c r="S586" s="66" t="str">
        <f aca="false">IF($A586="","",$C586&amp;" | "&amp;$D586)</f>
        <v/>
      </c>
      <c r="T586" s="66" t="str">
        <f aca="false">IF($A586="","",IF(AND($L586="Outside provider",OR($E586="Intake",$E586="Active",$E586="Waiting")),"Yes","No"))</f>
        <v/>
      </c>
    </row>
    <row r="587" customFormat="false" ht="15" hidden="false" customHeight="true" outlineLevel="0" collapsed="false">
      <c r="A587" s="67"/>
      <c r="B587" s="67"/>
      <c r="C587" s="67"/>
      <c r="D587" s="67"/>
      <c r="E587" s="67" t="str">
        <f aca="false">IF($A587="","",IFERROR(INDEX('Status map'!$D$6:$D$64,MATCH($C587&amp;" | "&amp;$D587,'Status map'!$I$6:$I$64,0)),"Unmapped"))</f>
        <v/>
      </c>
      <c r="F587" s="67"/>
      <c r="G587" s="70"/>
      <c r="H587" s="70"/>
      <c r="I587" s="70"/>
      <c r="J587" s="67"/>
      <c r="K587" s="67"/>
      <c r="L587" s="67"/>
      <c r="M587" s="66" t="str">
        <f aca="false">IF(OR($A587="",$H587&lt;&gt;""),"",Targets!$C$8-$I587)</f>
        <v/>
      </c>
      <c r="N587" s="66" t="str">
        <f aca="false">IF($A587="","",IF(AND($F587="Project",$E587="Active",$M587&lt;&gt;"",$M587&gt;Targets!$C$12),"Yes","No"))</f>
        <v/>
      </c>
      <c r="O587" s="66" t="str">
        <f aca="false">IF($A587="","",IF(AND($G587&gt;=Targets!$C$7,$G587&lt;=Targets!$C$8),"Yes","No"))</f>
        <v/>
      </c>
      <c r="P587" s="66" t="str">
        <f aca="false">IF($A587="","",IF(AND($H587&lt;&gt;"",$H587&gt;=Targets!$C$7,$H587&lt;=Targets!$C$8),"Yes","No"))</f>
        <v/>
      </c>
      <c r="Q587" s="66" t="str">
        <f aca="false">IF($A587="","",IF(AND($F587="Project",$E587&lt;&gt;"Closed",$E587&lt;&gt;"Dormant"),"Yes","No"))</f>
        <v/>
      </c>
      <c r="R587" s="66" t="str">
        <f aca="false">IF($A587="","",IF(AND($L587="In-house",OR($E587="Intake",$E587="Active",$E587="Waiting")),"Yes","No"))</f>
        <v/>
      </c>
      <c r="S587" s="66" t="str">
        <f aca="false">IF($A587="","",$C587&amp;" | "&amp;$D587)</f>
        <v/>
      </c>
      <c r="T587" s="66" t="str">
        <f aca="false">IF($A587="","",IF(AND($L587="Outside provider",OR($E587="Intake",$E587="Active",$E587="Waiting")),"Yes","No"))</f>
        <v/>
      </c>
    </row>
    <row r="588" customFormat="false" ht="15" hidden="false" customHeight="true" outlineLevel="0" collapsed="false">
      <c r="A588" s="63"/>
      <c r="B588" s="63"/>
      <c r="C588" s="63"/>
      <c r="D588" s="63"/>
      <c r="E588" s="63" t="str">
        <f aca="false">IF($A588="","",IFERROR(INDEX('Status map'!$D$6:$D$64,MATCH($C588&amp;" | "&amp;$D588,'Status map'!$I$6:$I$64,0)),"Unmapped"))</f>
        <v/>
      </c>
      <c r="F588" s="63"/>
      <c r="G588" s="69"/>
      <c r="H588" s="69"/>
      <c r="I588" s="69"/>
      <c r="J588" s="63"/>
      <c r="K588" s="63"/>
      <c r="L588" s="63"/>
      <c r="M588" s="66" t="str">
        <f aca="false">IF(OR($A588="",$H588&lt;&gt;""),"",Targets!$C$8-$I588)</f>
        <v/>
      </c>
      <c r="N588" s="66" t="str">
        <f aca="false">IF($A588="","",IF(AND($F588="Project",$E588="Active",$M588&lt;&gt;"",$M588&gt;Targets!$C$12),"Yes","No"))</f>
        <v/>
      </c>
      <c r="O588" s="66" t="str">
        <f aca="false">IF($A588="","",IF(AND($G588&gt;=Targets!$C$7,$G588&lt;=Targets!$C$8),"Yes","No"))</f>
        <v/>
      </c>
      <c r="P588" s="66" t="str">
        <f aca="false">IF($A588="","",IF(AND($H588&lt;&gt;"",$H588&gt;=Targets!$C$7,$H588&lt;=Targets!$C$8),"Yes","No"))</f>
        <v/>
      </c>
      <c r="Q588" s="66" t="str">
        <f aca="false">IF($A588="","",IF(AND($F588="Project",$E588&lt;&gt;"Closed",$E588&lt;&gt;"Dormant"),"Yes","No"))</f>
        <v/>
      </c>
      <c r="R588" s="66" t="str">
        <f aca="false">IF($A588="","",IF(AND($L588="In-house",OR($E588="Intake",$E588="Active",$E588="Waiting")),"Yes","No"))</f>
        <v/>
      </c>
      <c r="S588" s="66" t="str">
        <f aca="false">IF($A588="","",$C588&amp;" | "&amp;$D588)</f>
        <v/>
      </c>
      <c r="T588" s="66" t="str">
        <f aca="false">IF($A588="","",IF(AND($L588="Outside provider",OR($E588="Intake",$E588="Active",$E588="Waiting")),"Yes","No"))</f>
        <v/>
      </c>
    </row>
    <row r="589" customFormat="false" ht="15" hidden="false" customHeight="true" outlineLevel="0" collapsed="false">
      <c r="A589" s="67"/>
      <c r="B589" s="67"/>
      <c r="C589" s="67"/>
      <c r="D589" s="67"/>
      <c r="E589" s="67" t="str">
        <f aca="false">IF($A589="","",IFERROR(INDEX('Status map'!$D$6:$D$64,MATCH($C589&amp;" | "&amp;$D589,'Status map'!$I$6:$I$64,0)),"Unmapped"))</f>
        <v/>
      </c>
      <c r="F589" s="67"/>
      <c r="G589" s="70"/>
      <c r="H589" s="70"/>
      <c r="I589" s="70"/>
      <c r="J589" s="67"/>
      <c r="K589" s="67"/>
      <c r="L589" s="67"/>
      <c r="M589" s="66" t="str">
        <f aca="false">IF(OR($A589="",$H589&lt;&gt;""),"",Targets!$C$8-$I589)</f>
        <v/>
      </c>
      <c r="N589" s="66" t="str">
        <f aca="false">IF($A589="","",IF(AND($F589="Project",$E589="Active",$M589&lt;&gt;"",$M589&gt;Targets!$C$12),"Yes","No"))</f>
        <v/>
      </c>
      <c r="O589" s="66" t="str">
        <f aca="false">IF($A589="","",IF(AND($G589&gt;=Targets!$C$7,$G589&lt;=Targets!$C$8),"Yes","No"))</f>
        <v/>
      </c>
      <c r="P589" s="66" t="str">
        <f aca="false">IF($A589="","",IF(AND($H589&lt;&gt;"",$H589&gt;=Targets!$C$7,$H589&lt;=Targets!$C$8),"Yes","No"))</f>
        <v/>
      </c>
      <c r="Q589" s="66" t="str">
        <f aca="false">IF($A589="","",IF(AND($F589="Project",$E589&lt;&gt;"Closed",$E589&lt;&gt;"Dormant"),"Yes","No"))</f>
        <v/>
      </c>
      <c r="R589" s="66" t="str">
        <f aca="false">IF($A589="","",IF(AND($L589="In-house",OR($E589="Intake",$E589="Active",$E589="Waiting")),"Yes","No"))</f>
        <v/>
      </c>
      <c r="S589" s="66" t="str">
        <f aca="false">IF($A589="","",$C589&amp;" | "&amp;$D589)</f>
        <v/>
      </c>
      <c r="T589" s="66" t="str">
        <f aca="false">IF($A589="","",IF(AND($L589="Outside provider",OR($E589="Intake",$E589="Active",$E589="Waiting")),"Yes","No"))</f>
        <v/>
      </c>
    </row>
    <row r="590" customFormat="false" ht="15" hidden="false" customHeight="true" outlineLevel="0" collapsed="false">
      <c r="A590" s="63"/>
      <c r="B590" s="63"/>
      <c r="C590" s="63"/>
      <c r="D590" s="63"/>
      <c r="E590" s="63" t="str">
        <f aca="false">IF($A590="","",IFERROR(INDEX('Status map'!$D$6:$D$64,MATCH($C590&amp;" | "&amp;$D590,'Status map'!$I$6:$I$64,0)),"Unmapped"))</f>
        <v/>
      </c>
      <c r="F590" s="63"/>
      <c r="G590" s="69"/>
      <c r="H590" s="69"/>
      <c r="I590" s="69"/>
      <c r="J590" s="63"/>
      <c r="K590" s="63"/>
      <c r="L590" s="63"/>
      <c r="M590" s="66" t="str">
        <f aca="false">IF(OR($A590="",$H590&lt;&gt;""),"",Targets!$C$8-$I590)</f>
        <v/>
      </c>
      <c r="N590" s="66" t="str">
        <f aca="false">IF($A590="","",IF(AND($F590="Project",$E590="Active",$M590&lt;&gt;"",$M590&gt;Targets!$C$12),"Yes","No"))</f>
        <v/>
      </c>
      <c r="O590" s="66" t="str">
        <f aca="false">IF($A590="","",IF(AND($G590&gt;=Targets!$C$7,$G590&lt;=Targets!$C$8),"Yes","No"))</f>
        <v/>
      </c>
      <c r="P590" s="66" t="str">
        <f aca="false">IF($A590="","",IF(AND($H590&lt;&gt;"",$H590&gt;=Targets!$C$7,$H590&lt;=Targets!$C$8),"Yes","No"))</f>
        <v/>
      </c>
      <c r="Q590" s="66" t="str">
        <f aca="false">IF($A590="","",IF(AND($F590="Project",$E590&lt;&gt;"Closed",$E590&lt;&gt;"Dormant"),"Yes","No"))</f>
        <v/>
      </c>
      <c r="R590" s="66" t="str">
        <f aca="false">IF($A590="","",IF(AND($L590="In-house",OR($E590="Intake",$E590="Active",$E590="Waiting")),"Yes","No"))</f>
        <v/>
      </c>
      <c r="S590" s="66" t="str">
        <f aca="false">IF($A590="","",$C590&amp;" | "&amp;$D590)</f>
        <v/>
      </c>
      <c r="T590" s="66" t="str">
        <f aca="false">IF($A590="","",IF(AND($L590="Outside provider",OR($E590="Intake",$E590="Active",$E590="Waiting")),"Yes","No"))</f>
        <v/>
      </c>
    </row>
    <row r="591" customFormat="false" ht="15" hidden="false" customHeight="true" outlineLevel="0" collapsed="false">
      <c r="A591" s="67"/>
      <c r="B591" s="67"/>
      <c r="C591" s="67"/>
      <c r="D591" s="67"/>
      <c r="E591" s="67" t="str">
        <f aca="false">IF($A591="","",IFERROR(INDEX('Status map'!$D$6:$D$64,MATCH($C591&amp;" | "&amp;$D591,'Status map'!$I$6:$I$64,0)),"Unmapped"))</f>
        <v/>
      </c>
      <c r="F591" s="67"/>
      <c r="G591" s="70"/>
      <c r="H591" s="70"/>
      <c r="I591" s="70"/>
      <c r="J591" s="67"/>
      <c r="K591" s="67"/>
      <c r="L591" s="67"/>
      <c r="M591" s="66" t="str">
        <f aca="false">IF(OR($A591="",$H591&lt;&gt;""),"",Targets!$C$8-$I591)</f>
        <v/>
      </c>
      <c r="N591" s="66" t="str">
        <f aca="false">IF($A591="","",IF(AND($F591="Project",$E591="Active",$M591&lt;&gt;"",$M591&gt;Targets!$C$12),"Yes","No"))</f>
        <v/>
      </c>
      <c r="O591" s="66" t="str">
        <f aca="false">IF($A591="","",IF(AND($G591&gt;=Targets!$C$7,$G591&lt;=Targets!$C$8),"Yes","No"))</f>
        <v/>
      </c>
      <c r="P591" s="66" t="str">
        <f aca="false">IF($A591="","",IF(AND($H591&lt;&gt;"",$H591&gt;=Targets!$C$7,$H591&lt;=Targets!$C$8),"Yes","No"))</f>
        <v/>
      </c>
      <c r="Q591" s="66" t="str">
        <f aca="false">IF($A591="","",IF(AND($F591="Project",$E591&lt;&gt;"Closed",$E591&lt;&gt;"Dormant"),"Yes","No"))</f>
        <v/>
      </c>
      <c r="R591" s="66" t="str">
        <f aca="false">IF($A591="","",IF(AND($L591="In-house",OR($E591="Intake",$E591="Active",$E591="Waiting")),"Yes","No"))</f>
        <v/>
      </c>
      <c r="S591" s="66" t="str">
        <f aca="false">IF($A591="","",$C591&amp;" | "&amp;$D591)</f>
        <v/>
      </c>
      <c r="T591" s="66" t="str">
        <f aca="false">IF($A591="","",IF(AND($L591="Outside provider",OR($E591="Intake",$E591="Active",$E591="Waiting")),"Yes","No"))</f>
        <v/>
      </c>
    </row>
    <row r="592" customFormat="false" ht="15" hidden="false" customHeight="true" outlineLevel="0" collapsed="false">
      <c r="A592" s="63"/>
      <c r="B592" s="63"/>
      <c r="C592" s="63"/>
      <c r="D592" s="63"/>
      <c r="E592" s="63" t="str">
        <f aca="false">IF($A592="","",IFERROR(INDEX('Status map'!$D$6:$D$64,MATCH($C592&amp;" | "&amp;$D592,'Status map'!$I$6:$I$64,0)),"Unmapped"))</f>
        <v/>
      </c>
      <c r="F592" s="63"/>
      <c r="G592" s="69"/>
      <c r="H592" s="69"/>
      <c r="I592" s="69"/>
      <c r="J592" s="63"/>
      <c r="K592" s="63"/>
      <c r="L592" s="63"/>
      <c r="M592" s="66" t="str">
        <f aca="false">IF(OR($A592="",$H592&lt;&gt;""),"",Targets!$C$8-$I592)</f>
        <v/>
      </c>
      <c r="N592" s="66" t="str">
        <f aca="false">IF($A592="","",IF(AND($F592="Project",$E592="Active",$M592&lt;&gt;"",$M592&gt;Targets!$C$12),"Yes","No"))</f>
        <v/>
      </c>
      <c r="O592" s="66" t="str">
        <f aca="false">IF($A592="","",IF(AND($G592&gt;=Targets!$C$7,$G592&lt;=Targets!$C$8),"Yes","No"))</f>
        <v/>
      </c>
      <c r="P592" s="66" t="str">
        <f aca="false">IF($A592="","",IF(AND($H592&lt;&gt;"",$H592&gt;=Targets!$C$7,$H592&lt;=Targets!$C$8),"Yes","No"))</f>
        <v/>
      </c>
      <c r="Q592" s="66" t="str">
        <f aca="false">IF($A592="","",IF(AND($F592="Project",$E592&lt;&gt;"Closed",$E592&lt;&gt;"Dormant"),"Yes","No"))</f>
        <v/>
      </c>
      <c r="R592" s="66" t="str">
        <f aca="false">IF($A592="","",IF(AND($L592="In-house",OR($E592="Intake",$E592="Active",$E592="Waiting")),"Yes","No"))</f>
        <v/>
      </c>
      <c r="S592" s="66" t="str">
        <f aca="false">IF($A592="","",$C592&amp;" | "&amp;$D592)</f>
        <v/>
      </c>
      <c r="T592" s="66" t="str">
        <f aca="false">IF($A592="","",IF(AND($L592="Outside provider",OR($E592="Intake",$E592="Active",$E592="Waiting")),"Yes","No"))</f>
        <v/>
      </c>
    </row>
    <row r="593" customFormat="false" ht="15" hidden="false" customHeight="true" outlineLevel="0" collapsed="false">
      <c r="A593" s="67"/>
      <c r="B593" s="67"/>
      <c r="C593" s="67"/>
      <c r="D593" s="67"/>
      <c r="E593" s="67" t="str">
        <f aca="false">IF($A593="","",IFERROR(INDEX('Status map'!$D$6:$D$64,MATCH($C593&amp;" | "&amp;$D593,'Status map'!$I$6:$I$64,0)),"Unmapped"))</f>
        <v/>
      </c>
      <c r="F593" s="67"/>
      <c r="G593" s="70"/>
      <c r="H593" s="70"/>
      <c r="I593" s="70"/>
      <c r="J593" s="67"/>
      <c r="K593" s="67"/>
      <c r="L593" s="67"/>
      <c r="M593" s="66" t="str">
        <f aca="false">IF(OR($A593="",$H593&lt;&gt;""),"",Targets!$C$8-$I593)</f>
        <v/>
      </c>
      <c r="N593" s="66" t="str">
        <f aca="false">IF($A593="","",IF(AND($F593="Project",$E593="Active",$M593&lt;&gt;"",$M593&gt;Targets!$C$12),"Yes","No"))</f>
        <v/>
      </c>
      <c r="O593" s="66" t="str">
        <f aca="false">IF($A593="","",IF(AND($G593&gt;=Targets!$C$7,$G593&lt;=Targets!$C$8),"Yes","No"))</f>
        <v/>
      </c>
      <c r="P593" s="66" t="str">
        <f aca="false">IF($A593="","",IF(AND($H593&lt;&gt;"",$H593&gt;=Targets!$C$7,$H593&lt;=Targets!$C$8),"Yes","No"))</f>
        <v/>
      </c>
      <c r="Q593" s="66" t="str">
        <f aca="false">IF($A593="","",IF(AND($F593="Project",$E593&lt;&gt;"Closed",$E593&lt;&gt;"Dormant"),"Yes","No"))</f>
        <v/>
      </c>
      <c r="R593" s="66" t="str">
        <f aca="false">IF($A593="","",IF(AND($L593="In-house",OR($E593="Intake",$E593="Active",$E593="Waiting")),"Yes","No"))</f>
        <v/>
      </c>
      <c r="S593" s="66" t="str">
        <f aca="false">IF($A593="","",$C593&amp;" | "&amp;$D593)</f>
        <v/>
      </c>
      <c r="T593" s="66" t="str">
        <f aca="false">IF($A593="","",IF(AND($L593="Outside provider",OR($E593="Intake",$E593="Active",$E593="Waiting")),"Yes","No"))</f>
        <v/>
      </c>
    </row>
    <row r="594" customFormat="false" ht="15" hidden="false" customHeight="true" outlineLevel="0" collapsed="false">
      <c r="A594" s="63"/>
      <c r="B594" s="63"/>
      <c r="C594" s="63"/>
      <c r="D594" s="63"/>
      <c r="E594" s="63" t="str">
        <f aca="false">IF($A594="","",IFERROR(INDEX('Status map'!$D$6:$D$64,MATCH($C594&amp;" | "&amp;$D594,'Status map'!$I$6:$I$64,0)),"Unmapped"))</f>
        <v/>
      </c>
      <c r="F594" s="63"/>
      <c r="G594" s="69"/>
      <c r="H594" s="69"/>
      <c r="I594" s="69"/>
      <c r="J594" s="63"/>
      <c r="K594" s="63"/>
      <c r="L594" s="63"/>
      <c r="M594" s="66" t="str">
        <f aca="false">IF(OR($A594="",$H594&lt;&gt;""),"",Targets!$C$8-$I594)</f>
        <v/>
      </c>
      <c r="N594" s="66" t="str">
        <f aca="false">IF($A594="","",IF(AND($F594="Project",$E594="Active",$M594&lt;&gt;"",$M594&gt;Targets!$C$12),"Yes","No"))</f>
        <v/>
      </c>
      <c r="O594" s="66" t="str">
        <f aca="false">IF($A594="","",IF(AND($G594&gt;=Targets!$C$7,$G594&lt;=Targets!$C$8),"Yes","No"))</f>
        <v/>
      </c>
      <c r="P594" s="66" t="str">
        <f aca="false">IF($A594="","",IF(AND($H594&lt;&gt;"",$H594&gt;=Targets!$C$7,$H594&lt;=Targets!$C$8),"Yes","No"))</f>
        <v/>
      </c>
      <c r="Q594" s="66" t="str">
        <f aca="false">IF($A594="","",IF(AND($F594="Project",$E594&lt;&gt;"Closed",$E594&lt;&gt;"Dormant"),"Yes","No"))</f>
        <v/>
      </c>
      <c r="R594" s="66" t="str">
        <f aca="false">IF($A594="","",IF(AND($L594="In-house",OR($E594="Intake",$E594="Active",$E594="Waiting")),"Yes","No"))</f>
        <v/>
      </c>
      <c r="S594" s="66" t="str">
        <f aca="false">IF($A594="","",$C594&amp;" | "&amp;$D594)</f>
        <v/>
      </c>
      <c r="T594" s="66" t="str">
        <f aca="false">IF($A594="","",IF(AND($L594="Outside provider",OR($E594="Intake",$E594="Active",$E594="Waiting")),"Yes","No"))</f>
        <v/>
      </c>
    </row>
    <row r="595" customFormat="false" ht="15" hidden="false" customHeight="true" outlineLevel="0" collapsed="false">
      <c r="A595" s="67"/>
      <c r="B595" s="67"/>
      <c r="C595" s="67"/>
      <c r="D595" s="67"/>
      <c r="E595" s="67" t="str">
        <f aca="false">IF($A595="","",IFERROR(INDEX('Status map'!$D$6:$D$64,MATCH($C595&amp;" | "&amp;$D595,'Status map'!$I$6:$I$64,0)),"Unmapped"))</f>
        <v/>
      </c>
      <c r="F595" s="67"/>
      <c r="G595" s="70"/>
      <c r="H595" s="70"/>
      <c r="I595" s="70"/>
      <c r="J595" s="67"/>
      <c r="K595" s="67"/>
      <c r="L595" s="67"/>
      <c r="M595" s="66" t="str">
        <f aca="false">IF(OR($A595="",$H595&lt;&gt;""),"",Targets!$C$8-$I595)</f>
        <v/>
      </c>
      <c r="N595" s="66" t="str">
        <f aca="false">IF($A595="","",IF(AND($F595="Project",$E595="Active",$M595&lt;&gt;"",$M595&gt;Targets!$C$12),"Yes","No"))</f>
        <v/>
      </c>
      <c r="O595" s="66" t="str">
        <f aca="false">IF($A595="","",IF(AND($G595&gt;=Targets!$C$7,$G595&lt;=Targets!$C$8),"Yes","No"))</f>
        <v/>
      </c>
      <c r="P595" s="66" t="str">
        <f aca="false">IF($A595="","",IF(AND($H595&lt;&gt;"",$H595&gt;=Targets!$C$7,$H595&lt;=Targets!$C$8),"Yes","No"))</f>
        <v/>
      </c>
      <c r="Q595" s="66" t="str">
        <f aca="false">IF($A595="","",IF(AND($F595="Project",$E595&lt;&gt;"Closed",$E595&lt;&gt;"Dormant"),"Yes","No"))</f>
        <v/>
      </c>
      <c r="R595" s="66" t="str">
        <f aca="false">IF($A595="","",IF(AND($L595="In-house",OR($E595="Intake",$E595="Active",$E595="Waiting")),"Yes","No"))</f>
        <v/>
      </c>
      <c r="S595" s="66" t="str">
        <f aca="false">IF($A595="","",$C595&amp;" | "&amp;$D595)</f>
        <v/>
      </c>
      <c r="T595" s="66" t="str">
        <f aca="false">IF($A595="","",IF(AND($L595="Outside provider",OR($E595="Intake",$E595="Active",$E595="Waiting")),"Yes","No"))</f>
        <v/>
      </c>
    </row>
    <row r="596" customFormat="false" ht="15" hidden="false" customHeight="true" outlineLevel="0" collapsed="false">
      <c r="A596" s="63"/>
      <c r="B596" s="63"/>
      <c r="C596" s="63"/>
      <c r="D596" s="63"/>
      <c r="E596" s="63" t="str">
        <f aca="false">IF($A596="","",IFERROR(INDEX('Status map'!$D$6:$D$64,MATCH($C596&amp;" | "&amp;$D596,'Status map'!$I$6:$I$64,0)),"Unmapped"))</f>
        <v/>
      </c>
      <c r="F596" s="63"/>
      <c r="G596" s="69"/>
      <c r="H596" s="69"/>
      <c r="I596" s="69"/>
      <c r="J596" s="63"/>
      <c r="K596" s="63"/>
      <c r="L596" s="63"/>
      <c r="M596" s="66" t="str">
        <f aca="false">IF(OR($A596="",$H596&lt;&gt;""),"",Targets!$C$8-$I596)</f>
        <v/>
      </c>
      <c r="N596" s="66" t="str">
        <f aca="false">IF($A596="","",IF(AND($F596="Project",$E596="Active",$M596&lt;&gt;"",$M596&gt;Targets!$C$12),"Yes","No"))</f>
        <v/>
      </c>
      <c r="O596" s="66" t="str">
        <f aca="false">IF($A596="","",IF(AND($G596&gt;=Targets!$C$7,$G596&lt;=Targets!$C$8),"Yes","No"))</f>
        <v/>
      </c>
      <c r="P596" s="66" t="str">
        <f aca="false">IF($A596="","",IF(AND($H596&lt;&gt;"",$H596&gt;=Targets!$C$7,$H596&lt;=Targets!$C$8),"Yes","No"))</f>
        <v/>
      </c>
      <c r="Q596" s="66" t="str">
        <f aca="false">IF($A596="","",IF(AND($F596="Project",$E596&lt;&gt;"Closed",$E596&lt;&gt;"Dormant"),"Yes","No"))</f>
        <v/>
      </c>
      <c r="R596" s="66" t="str">
        <f aca="false">IF($A596="","",IF(AND($L596="In-house",OR($E596="Intake",$E596="Active",$E596="Waiting")),"Yes","No"))</f>
        <v/>
      </c>
      <c r="S596" s="66" t="str">
        <f aca="false">IF($A596="","",$C596&amp;" | "&amp;$D596)</f>
        <v/>
      </c>
      <c r="T596" s="66" t="str">
        <f aca="false">IF($A596="","",IF(AND($L596="Outside provider",OR($E596="Intake",$E596="Active",$E596="Waiting")),"Yes","No"))</f>
        <v/>
      </c>
    </row>
    <row r="597" customFormat="false" ht="15" hidden="false" customHeight="true" outlineLevel="0" collapsed="false">
      <c r="A597" s="67"/>
      <c r="B597" s="67"/>
      <c r="C597" s="67"/>
      <c r="D597" s="67"/>
      <c r="E597" s="67" t="str">
        <f aca="false">IF($A597="","",IFERROR(INDEX('Status map'!$D$6:$D$64,MATCH($C597&amp;" | "&amp;$D597,'Status map'!$I$6:$I$64,0)),"Unmapped"))</f>
        <v/>
      </c>
      <c r="F597" s="67"/>
      <c r="G597" s="70"/>
      <c r="H597" s="70"/>
      <c r="I597" s="70"/>
      <c r="J597" s="67"/>
      <c r="K597" s="67"/>
      <c r="L597" s="67"/>
      <c r="M597" s="66" t="str">
        <f aca="false">IF(OR($A597="",$H597&lt;&gt;""),"",Targets!$C$8-$I597)</f>
        <v/>
      </c>
      <c r="N597" s="66" t="str">
        <f aca="false">IF($A597="","",IF(AND($F597="Project",$E597="Active",$M597&lt;&gt;"",$M597&gt;Targets!$C$12),"Yes","No"))</f>
        <v/>
      </c>
      <c r="O597" s="66" t="str">
        <f aca="false">IF($A597="","",IF(AND($G597&gt;=Targets!$C$7,$G597&lt;=Targets!$C$8),"Yes","No"))</f>
        <v/>
      </c>
      <c r="P597" s="66" t="str">
        <f aca="false">IF($A597="","",IF(AND($H597&lt;&gt;"",$H597&gt;=Targets!$C$7,$H597&lt;=Targets!$C$8),"Yes","No"))</f>
        <v/>
      </c>
      <c r="Q597" s="66" t="str">
        <f aca="false">IF($A597="","",IF(AND($F597="Project",$E597&lt;&gt;"Closed",$E597&lt;&gt;"Dormant"),"Yes","No"))</f>
        <v/>
      </c>
      <c r="R597" s="66" t="str">
        <f aca="false">IF($A597="","",IF(AND($L597="In-house",OR($E597="Intake",$E597="Active",$E597="Waiting")),"Yes","No"))</f>
        <v/>
      </c>
      <c r="S597" s="66" t="str">
        <f aca="false">IF($A597="","",$C597&amp;" | "&amp;$D597)</f>
        <v/>
      </c>
      <c r="T597" s="66" t="str">
        <f aca="false">IF($A597="","",IF(AND($L597="Outside provider",OR($E597="Intake",$E597="Active",$E597="Waiting")),"Yes","No"))</f>
        <v/>
      </c>
    </row>
    <row r="598" customFormat="false" ht="15" hidden="false" customHeight="true" outlineLevel="0" collapsed="false">
      <c r="A598" s="63"/>
      <c r="B598" s="63"/>
      <c r="C598" s="63"/>
      <c r="D598" s="63"/>
      <c r="E598" s="63" t="str">
        <f aca="false">IF($A598="","",IFERROR(INDEX('Status map'!$D$6:$D$64,MATCH($C598&amp;" | "&amp;$D598,'Status map'!$I$6:$I$64,0)),"Unmapped"))</f>
        <v/>
      </c>
      <c r="F598" s="63"/>
      <c r="G598" s="69"/>
      <c r="H598" s="69"/>
      <c r="I598" s="69"/>
      <c r="J598" s="63"/>
      <c r="K598" s="63"/>
      <c r="L598" s="63"/>
      <c r="M598" s="66" t="str">
        <f aca="false">IF(OR($A598="",$H598&lt;&gt;""),"",Targets!$C$8-$I598)</f>
        <v/>
      </c>
      <c r="N598" s="66" t="str">
        <f aca="false">IF($A598="","",IF(AND($F598="Project",$E598="Active",$M598&lt;&gt;"",$M598&gt;Targets!$C$12),"Yes","No"))</f>
        <v/>
      </c>
      <c r="O598" s="66" t="str">
        <f aca="false">IF($A598="","",IF(AND($G598&gt;=Targets!$C$7,$G598&lt;=Targets!$C$8),"Yes","No"))</f>
        <v/>
      </c>
      <c r="P598" s="66" t="str">
        <f aca="false">IF($A598="","",IF(AND($H598&lt;&gt;"",$H598&gt;=Targets!$C$7,$H598&lt;=Targets!$C$8),"Yes","No"))</f>
        <v/>
      </c>
      <c r="Q598" s="66" t="str">
        <f aca="false">IF($A598="","",IF(AND($F598="Project",$E598&lt;&gt;"Closed",$E598&lt;&gt;"Dormant"),"Yes","No"))</f>
        <v/>
      </c>
      <c r="R598" s="66" t="str">
        <f aca="false">IF($A598="","",IF(AND($L598="In-house",OR($E598="Intake",$E598="Active",$E598="Waiting")),"Yes","No"))</f>
        <v/>
      </c>
      <c r="S598" s="66" t="str">
        <f aca="false">IF($A598="","",$C598&amp;" | "&amp;$D598)</f>
        <v/>
      </c>
      <c r="T598" s="66" t="str">
        <f aca="false">IF($A598="","",IF(AND($L598="Outside provider",OR($E598="Intake",$E598="Active",$E598="Waiting")),"Yes","No"))</f>
        <v/>
      </c>
    </row>
    <row r="599" customFormat="false" ht="15" hidden="false" customHeight="true" outlineLevel="0" collapsed="false">
      <c r="A599" s="67"/>
      <c r="B599" s="67"/>
      <c r="C599" s="67"/>
      <c r="D599" s="67"/>
      <c r="E599" s="67" t="str">
        <f aca="false">IF($A599="","",IFERROR(INDEX('Status map'!$D$6:$D$64,MATCH($C599&amp;" | "&amp;$D599,'Status map'!$I$6:$I$64,0)),"Unmapped"))</f>
        <v/>
      </c>
      <c r="F599" s="67"/>
      <c r="G599" s="70"/>
      <c r="H599" s="70"/>
      <c r="I599" s="70"/>
      <c r="J599" s="67"/>
      <c r="K599" s="67"/>
      <c r="L599" s="67"/>
      <c r="M599" s="66" t="str">
        <f aca="false">IF(OR($A599="",$H599&lt;&gt;""),"",Targets!$C$8-$I599)</f>
        <v/>
      </c>
      <c r="N599" s="66" t="str">
        <f aca="false">IF($A599="","",IF(AND($F599="Project",$E599="Active",$M599&lt;&gt;"",$M599&gt;Targets!$C$12),"Yes","No"))</f>
        <v/>
      </c>
      <c r="O599" s="66" t="str">
        <f aca="false">IF($A599="","",IF(AND($G599&gt;=Targets!$C$7,$G599&lt;=Targets!$C$8),"Yes","No"))</f>
        <v/>
      </c>
      <c r="P599" s="66" t="str">
        <f aca="false">IF($A599="","",IF(AND($H599&lt;&gt;"",$H599&gt;=Targets!$C$7,$H599&lt;=Targets!$C$8),"Yes","No"))</f>
        <v/>
      </c>
      <c r="Q599" s="66" t="str">
        <f aca="false">IF($A599="","",IF(AND($F599="Project",$E599&lt;&gt;"Closed",$E599&lt;&gt;"Dormant"),"Yes","No"))</f>
        <v/>
      </c>
      <c r="R599" s="66" t="str">
        <f aca="false">IF($A599="","",IF(AND($L599="In-house",OR($E599="Intake",$E599="Active",$E599="Waiting")),"Yes","No"))</f>
        <v/>
      </c>
      <c r="S599" s="66" t="str">
        <f aca="false">IF($A599="","",$C599&amp;" | "&amp;$D599)</f>
        <v/>
      </c>
      <c r="T599" s="66" t="str">
        <f aca="false">IF($A599="","",IF(AND($L599="Outside provider",OR($E599="Intake",$E599="Active",$E599="Waiting")),"Yes","No"))</f>
        <v/>
      </c>
    </row>
    <row r="600" customFormat="false" ht="15" hidden="false" customHeight="true" outlineLevel="0" collapsed="false">
      <c r="A600" s="63"/>
      <c r="B600" s="63"/>
      <c r="C600" s="63"/>
      <c r="D600" s="63"/>
      <c r="E600" s="63" t="str">
        <f aca="false">IF($A600="","",IFERROR(INDEX('Status map'!$D$6:$D$64,MATCH($C600&amp;" | "&amp;$D600,'Status map'!$I$6:$I$64,0)),"Unmapped"))</f>
        <v/>
      </c>
      <c r="F600" s="63"/>
      <c r="G600" s="69"/>
      <c r="H600" s="69"/>
      <c r="I600" s="69"/>
      <c r="J600" s="63"/>
      <c r="K600" s="63"/>
      <c r="L600" s="63"/>
      <c r="M600" s="66" t="str">
        <f aca="false">IF(OR($A600="",$H600&lt;&gt;""),"",Targets!$C$8-$I600)</f>
        <v/>
      </c>
      <c r="N600" s="66" t="str">
        <f aca="false">IF($A600="","",IF(AND($F600="Project",$E600="Active",$M600&lt;&gt;"",$M600&gt;Targets!$C$12),"Yes","No"))</f>
        <v/>
      </c>
      <c r="O600" s="66" t="str">
        <f aca="false">IF($A600="","",IF(AND($G600&gt;=Targets!$C$7,$G600&lt;=Targets!$C$8),"Yes","No"))</f>
        <v/>
      </c>
      <c r="P600" s="66" t="str">
        <f aca="false">IF($A600="","",IF(AND($H600&lt;&gt;"",$H600&gt;=Targets!$C$7,$H600&lt;=Targets!$C$8),"Yes","No"))</f>
        <v/>
      </c>
      <c r="Q600" s="66" t="str">
        <f aca="false">IF($A600="","",IF(AND($F600="Project",$E600&lt;&gt;"Closed",$E600&lt;&gt;"Dormant"),"Yes","No"))</f>
        <v/>
      </c>
      <c r="R600" s="66" t="str">
        <f aca="false">IF($A600="","",IF(AND($L600="In-house",OR($E600="Intake",$E600="Active",$E600="Waiting")),"Yes","No"))</f>
        <v/>
      </c>
      <c r="S600" s="66" t="str">
        <f aca="false">IF($A600="","",$C600&amp;" | "&amp;$D600)</f>
        <v/>
      </c>
      <c r="T600" s="66" t="str">
        <f aca="false">IF($A600="","",IF(AND($L600="Outside provider",OR($E600="Intake",$E600="Active",$E600="Waiting")),"Yes","No"))</f>
        <v/>
      </c>
    </row>
    <row r="601" customFormat="false" ht="15" hidden="false" customHeight="true" outlineLevel="0" collapsed="false">
      <c r="A601" s="67"/>
      <c r="B601" s="67"/>
      <c r="C601" s="67"/>
      <c r="D601" s="67"/>
      <c r="E601" s="67" t="str">
        <f aca="false">IF($A601="","",IFERROR(INDEX('Status map'!$D$6:$D$64,MATCH($C601&amp;" | "&amp;$D601,'Status map'!$I$6:$I$64,0)),"Unmapped"))</f>
        <v/>
      </c>
      <c r="F601" s="67"/>
      <c r="G601" s="70"/>
      <c r="H601" s="70"/>
      <c r="I601" s="70"/>
      <c r="J601" s="67"/>
      <c r="K601" s="67"/>
      <c r="L601" s="67"/>
      <c r="M601" s="66" t="str">
        <f aca="false">IF(OR($A601="",$H601&lt;&gt;""),"",Targets!$C$8-$I601)</f>
        <v/>
      </c>
      <c r="N601" s="66" t="str">
        <f aca="false">IF($A601="","",IF(AND($F601="Project",$E601="Active",$M601&lt;&gt;"",$M601&gt;Targets!$C$12),"Yes","No"))</f>
        <v/>
      </c>
      <c r="O601" s="66" t="str">
        <f aca="false">IF($A601="","",IF(AND($G601&gt;=Targets!$C$7,$G601&lt;=Targets!$C$8),"Yes","No"))</f>
        <v/>
      </c>
      <c r="P601" s="66" t="str">
        <f aca="false">IF($A601="","",IF(AND($H601&lt;&gt;"",$H601&gt;=Targets!$C$7,$H601&lt;=Targets!$C$8),"Yes","No"))</f>
        <v/>
      </c>
      <c r="Q601" s="66" t="str">
        <f aca="false">IF($A601="","",IF(AND($F601="Project",$E601&lt;&gt;"Closed",$E601&lt;&gt;"Dormant"),"Yes","No"))</f>
        <v/>
      </c>
      <c r="R601" s="66" t="str">
        <f aca="false">IF($A601="","",IF(AND($L601="In-house",OR($E601="Intake",$E601="Active",$E601="Waiting")),"Yes","No"))</f>
        <v/>
      </c>
      <c r="S601" s="66" t="str">
        <f aca="false">IF($A601="","",$C601&amp;" | "&amp;$D601)</f>
        <v/>
      </c>
      <c r="T601" s="66" t="str">
        <f aca="false">IF($A601="","",IF(AND($L601="Outside provider",OR($E601="Intake",$E601="Active",$E601="Waiting")),"Yes","No"))</f>
        <v/>
      </c>
    </row>
    <row r="602" customFormat="false" ht="15" hidden="false" customHeight="true" outlineLevel="0" collapsed="false">
      <c r="A602" s="63"/>
      <c r="B602" s="63"/>
      <c r="C602" s="63"/>
      <c r="D602" s="63"/>
      <c r="E602" s="63" t="str">
        <f aca="false">IF($A602="","",IFERROR(INDEX('Status map'!$D$6:$D$64,MATCH($C602&amp;" | "&amp;$D602,'Status map'!$I$6:$I$64,0)),"Unmapped"))</f>
        <v/>
      </c>
      <c r="F602" s="63"/>
      <c r="G602" s="69"/>
      <c r="H602" s="69"/>
      <c r="I602" s="69"/>
      <c r="J602" s="63"/>
      <c r="K602" s="63"/>
      <c r="L602" s="63"/>
      <c r="M602" s="66" t="str">
        <f aca="false">IF(OR($A602="",$H602&lt;&gt;""),"",Targets!$C$8-$I602)</f>
        <v/>
      </c>
      <c r="N602" s="66" t="str">
        <f aca="false">IF($A602="","",IF(AND($F602="Project",$E602="Active",$M602&lt;&gt;"",$M602&gt;Targets!$C$12),"Yes","No"))</f>
        <v/>
      </c>
      <c r="O602" s="66" t="str">
        <f aca="false">IF($A602="","",IF(AND($G602&gt;=Targets!$C$7,$G602&lt;=Targets!$C$8),"Yes","No"))</f>
        <v/>
      </c>
      <c r="P602" s="66" t="str">
        <f aca="false">IF($A602="","",IF(AND($H602&lt;&gt;"",$H602&gt;=Targets!$C$7,$H602&lt;=Targets!$C$8),"Yes","No"))</f>
        <v/>
      </c>
      <c r="Q602" s="66" t="str">
        <f aca="false">IF($A602="","",IF(AND($F602="Project",$E602&lt;&gt;"Closed",$E602&lt;&gt;"Dormant"),"Yes","No"))</f>
        <v/>
      </c>
      <c r="R602" s="66" t="str">
        <f aca="false">IF($A602="","",IF(AND($L602="In-house",OR($E602="Intake",$E602="Active",$E602="Waiting")),"Yes","No"))</f>
        <v/>
      </c>
      <c r="S602" s="66" t="str">
        <f aca="false">IF($A602="","",$C602&amp;" | "&amp;$D602)</f>
        <v/>
      </c>
      <c r="T602" s="66" t="str">
        <f aca="false">IF($A602="","",IF(AND($L602="Outside provider",OR($E602="Intake",$E602="Active",$E602="Waiting")),"Yes","No"))</f>
        <v/>
      </c>
    </row>
    <row r="603" customFormat="false" ht="15" hidden="false" customHeight="true" outlineLevel="0" collapsed="false">
      <c r="A603" s="67"/>
      <c r="B603" s="67"/>
      <c r="C603" s="67"/>
      <c r="D603" s="67"/>
      <c r="E603" s="67" t="str">
        <f aca="false">IF($A603="","",IFERROR(INDEX('Status map'!$D$6:$D$64,MATCH($C603&amp;" | "&amp;$D603,'Status map'!$I$6:$I$64,0)),"Unmapped"))</f>
        <v/>
      </c>
      <c r="F603" s="67"/>
      <c r="G603" s="70"/>
      <c r="H603" s="70"/>
      <c r="I603" s="70"/>
      <c r="J603" s="67"/>
      <c r="K603" s="67"/>
      <c r="L603" s="67"/>
      <c r="M603" s="66" t="str">
        <f aca="false">IF(OR($A603="",$H603&lt;&gt;""),"",Targets!$C$8-$I603)</f>
        <v/>
      </c>
      <c r="N603" s="66" t="str">
        <f aca="false">IF($A603="","",IF(AND($F603="Project",$E603="Active",$M603&lt;&gt;"",$M603&gt;Targets!$C$12),"Yes","No"))</f>
        <v/>
      </c>
      <c r="O603" s="66" t="str">
        <f aca="false">IF($A603="","",IF(AND($G603&gt;=Targets!$C$7,$G603&lt;=Targets!$C$8),"Yes","No"))</f>
        <v/>
      </c>
      <c r="P603" s="66" t="str">
        <f aca="false">IF($A603="","",IF(AND($H603&lt;&gt;"",$H603&gt;=Targets!$C$7,$H603&lt;=Targets!$C$8),"Yes","No"))</f>
        <v/>
      </c>
      <c r="Q603" s="66" t="str">
        <f aca="false">IF($A603="","",IF(AND($F603="Project",$E603&lt;&gt;"Closed",$E603&lt;&gt;"Dormant"),"Yes","No"))</f>
        <v/>
      </c>
      <c r="R603" s="66" t="str">
        <f aca="false">IF($A603="","",IF(AND($L603="In-house",OR($E603="Intake",$E603="Active",$E603="Waiting")),"Yes","No"))</f>
        <v/>
      </c>
      <c r="S603" s="66" t="str">
        <f aca="false">IF($A603="","",$C603&amp;" | "&amp;$D603)</f>
        <v/>
      </c>
      <c r="T603" s="66" t="str">
        <f aca="false">IF($A603="","",IF(AND($L603="Outside provider",OR($E603="Intake",$E603="Active",$E603="Waiting")),"Yes","No"))</f>
        <v/>
      </c>
    </row>
    <row r="604" customFormat="false" ht="15" hidden="false" customHeight="true" outlineLevel="0" collapsed="false">
      <c r="A604" s="63"/>
      <c r="B604" s="63"/>
      <c r="C604" s="63"/>
      <c r="D604" s="63"/>
      <c r="E604" s="63" t="str">
        <f aca="false">IF($A604="","",IFERROR(INDEX('Status map'!$D$6:$D$64,MATCH($C604&amp;" | "&amp;$D604,'Status map'!$I$6:$I$64,0)),"Unmapped"))</f>
        <v/>
      </c>
      <c r="F604" s="63"/>
      <c r="G604" s="69"/>
      <c r="H604" s="69"/>
      <c r="I604" s="69"/>
      <c r="J604" s="63"/>
      <c r="K604" s="63"/>
      <c r="L604" s="63"/>
      <c r="M604" s="66" t="str">
        <f aca="false">IF(OR($A604="",$H604&lt;&gt;""),"",Targets!$C$8-$I604)</f>
        <v/>
      </c>
      <c r="N604" s="66" t="str">
        <f aca="false">IF($A604="","",IF(AND($F604="Project",$E604="Active",$M604&lt;&gt;"",$M604&gt;Targets!$C$12),"Yes","No"))</f>
        <v/>
      </c>
      <c r="O604" s="66" t="str">
        <f aca="false">IF($A604="","",IF(AND($G604&gt;=Targets!$C$7,$G604&lt;=Targets!$C$8),"Yes","No"))</f>
        <v/>
      </c>
      <c r="P604" s="66" t="str">
        <f aca="false">IF($A604="","",IF(AND($H604&lt;&gt;"",$H604&gt;=Targets!$C$7,$H604&lt;=Targets!$C$8),"Yes","No"))</f>
        <v/>
      </c>
      <c r="Q604" s="66" t="str">
        <f aca="false">IF($A604="","",IF(AND($F604="Project",$E604&lt;&gt;"Closed",$E604&lt;&gt;"Dormant"),"Yes","No"))</f>
        <v/>
      </c>
      <c r="R604" s="66" t="str">
        <f aca="false">IF($A604="","",IF(AND($L604="In-house",OR($E604="Intake",$E604="Active",$E604="Waiting")),"Yes","No"))</f>
        <v/>
      </c>
      <c r="S604" s="66" t="str">
        <f aca="false">IF($A604="","",$C604&amp;" | "&amp;$D604)</f>
        <v/>
      </c>
      <c r="T604" s="66" t="str">
        <f aca="false">IF($A604="","",IF(AND($L604="Outside provider",OR($E604="Intake",$E604="Active",$E604="Waiting")),"Yes","No"))</f>
        <v/>
      </c>
    </row>
  </sheetData>
  <conditionalFormatting sqref="E6:E604">
    <cfRule type="cellIs" priority="2" operator="equal" aboveAverage="0" equalAverage="0" bottom="0" percent="0" rank="0" text="" dxfId="7">
      <formula>"Unmapped"</formula>
    </cfRule>
  </conditionalFormatting>
  <conditionalFormatting sqref="N6:N604">
    <cfRule type="cellIs" priority="3" operator="equal" aboveAverage="0" equalAverage="0" bottom="0" percent="0" rank="0" text="" dxfId="8">
      <formula>"Yes"</formula>
    </cfRule>
  </conditionalFormatting>
  <dataValidations count="2">
    <dataValidation allowBlank="true" errorStyle="stop" operator="between" showDropDown="false" showErrorMessage="false" showInputMessage="false" sqref="F6:F604" type="list">
      <formula1>"Project,Portfolio,Advisory,Advice"</formula1>
      <formula2>0</formula2>
    </dataValidation>
    <dataValidation allowBlank="true" errorStyle="stop" operator="between" showDropDown="false" showErrorMessage="false" showInputMessage="false" sqref="L6:L604" type="list">
      <formula1>"In-house,Outside provider"</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B5563"/>
    <pageSetUpPr fitToPage="true"/>
  </sheetPr>
  <dimension ref="A1:K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9"/>
    <col collapsed="false" customWidth="true" hidden="false" outlineLevel="0" max="2" min="2" style="1" width="28"/>
    <col collapsed="false" customWidth="true" hidden="false" outlineLevel="0" max="3" min="3" style="1" width="46"/>
    <col collapsed="false" customWidth="true" hidden="false" outlineLevel="0" max="4" min="4" style="1" width="16"/>
    <col collapsed="false" customWidth="true" hidden="false" outlineLevel="0" max="5" min="5" style="1" width="50"/>
    <col collapsed="false" customWidth="true" hidden="false" outlineLevel="0" max="7" min="6" style="1" width="13"/>
    <col collapsed="false" customWidth="true" hidden="false" outlineLevel="0" max="8" min="8" style="1" width="16"/>
    <col collapsed="false" customWidth="true" hidden="false" outlineLevel="0" max="9" min="9" style="1" width="42"/>
    <col collapsed="false" customWidth="true" hidden="false" outlineLevel="0" max="10" min="10" style="1" width="15"/>
    <col collapsed="false" customWidth="true" hidden="false" outlineLevel="0" max="11" min="11" style="1" width="40"/>
  </cols>
  <sheetData>
    <row r="1" customFormat="false" ht="21.75" hidden="false" customHeight="true" outlineLevel="0" collapsed="false">
      <c r="A1" s="31" t="s">
        <v>34</v>
      </c>
    </row>
    <row r="2" customFormat="false" ht="15" hidden="false" customHeight="true" outlineLevel="0" collapsed="false">
      <c r="A2" s="32" t="s">
        <v>1139</v>
      </c>
    </row>
    <row r="3" customFormat="false" ht="15" hidden="false" customHeight="true" outlineLevel="0" collapsed="false">
      <c r="A3" s="60" t="s">
        <v>1140</v>
      </c>
    </row>
    <row r="4" customFormat="false" ht="15" hidden="false" customHeight="true" outlineLevel="0" collapsed="false">
      <c r="A4" s="30" t="s">
        <v>161</v>
      </c>
      <c r="I4" s="61" t="s">
        <v>162</v>
      </c>
    </row>
    <row r="5" customFormat="false" ht="30" hidden="false" customHeight="true" outlineLevel="0" collapsed="false">
      <c r="A5" s="8" t="s">
        <v>1141</v>
      </c>
      <c r="B5" s="8" t="s">
        <v>427</v>
      </c>
      <c r="C5" s="8" t="s">
        <v>1142</v>
      </c>
      <c r="D5" s="8" t="s">
        <v>429</v>
      </c>
      <c r="E5" s="8" t="s">
        <v>1143</v>
      </c>
      <c r="F5" s="8" t="s">
        <v>1144</v>
      </c>
      <c r="G5" s="8" t="s">
        <v>1145</v>
      </c>
      <c r="H5" s="8" t="s">
        <v>1146</v>
      </c>
      <c r="I5" s="50" t="s">
        <v>1147</v>
      </c>
      <c r="J5" s="50" t="s">
        <v>1148</v>
      </c>
      <c r="K5" s="50" t="s">
        <v>1149</v>
      </c>
    </row>
    <row r="6" customFormat="false" ht="15" hidden="false" customHeight="true" outlineLevel="0" collapsed="false">
      <c r="A6" s="63" t="s">
        <v>1150</v>
      </c>
      <c r="B6" s="63" t="s">
        <v>647</v>
      </c>
      <c r="C6" s="63" t="s">
        <v>1151</v>
      </c>
      <c r="D6" s="63" t="s">
        <v>1152</v>
      </c>
      <c r="E6" s="63" t="s">
        <v>1153</v>
      </c>
      <c r="F6" s="69" t="n">
        <v>46037</v>
      </c>
      <c r="G6" s="69" t="n">
        <v>46235</v>
      </c>
      <c r="H6" s="63" t="s">
        <v>1154</v>
      </c>
      <c r="I6" s="66" t="str">
        <f aca="false">IF($B6="","",$B6&amp;" | "&amp;$C6)</f>
        <v>IP: patents and trademarks | Docketed, not yet filed</v>
      </c>
      <c r="J6" s="66" t="n">
        <f aca="false">IF($A6="","",COUNTIFS(Matters!$C$6:$C$604,$B6,Matters!$D$6:$D$604,$C6))</f>
        <v>0</v>
      </c>
      <c r="K6" s="66" t="str">
        <f aca="false">IF($A6="","",IF($J6=0,"none in the current data",IFERROR(INDEX(Matters!$A$6:$A$604,MATCH($I6,Matters!$S$6:$S$604,0))&amp;"  "&amp;INDEX(Matters!$B$6:$B$604,MATCH($I6,Matters!$S$6:$S$604,0)),"none in the current data")))</f>
        <v>none in the current data</v>
      </c>
    </row>
    <row r="7" customFormat="false" ht="15" hidden="false" customHeight="true" outlineLevel="0" collapsed="false">
      <c r="A7" s="67" t="s">
        <v>1155</v>
      </c>
      <c r="B7" s="67" t="s">
        <v>647</v>
      </c>
      <c r="C7" s="67" t="s">
        <v>1110</v>
      </c>
      <c r="D7" s="67" t="s">
        <v>1156</v>
      </c>
      <c r="E7" s="67" t="s">
        <v>1157</v>
      </c>
      <c r="F7" s="70" t="n">
        <v>46037</v>
      </c>
      <c r="G7" s="70" t="n">
        <v>46235</v>
      </c>
      <c r="H7" s="67" t="s">
        <v>1154</v>
      </c>
      <c r="I7" s="66" t="str">
        <f aca="false">IF($B7="","",$B7&amp;" | "&amp;$C7)</f>
        <v>IP: patents and trademarks | A filing or response being prepared</v>
      </c>
      <c r="J7" s="66" t="n">
        <f aca="false">IF($A7="","",COUNTIFS(Matters!$C$6:$C$604,$B7,Matters!$D$6:$D$604,$C7))</f>
        <v>1</v>
      </c>
      <c r="K7" s="66" t="str">
        <f aca="false">IF($A7="","",IF($J7=0,"none in the current data",IFERROR(INDEX(Matters!$A$6:$A$604,MATCH($I7,Matters!$S$6:$S$604,0))&amp;"  "&amp;INDEX(Matters!$B$6:$B$604,MATCH($I7,Matters!$S$6:$S$604,0)),"none in the current data")))</f>
        <v>M-1050  Office action response, Larkspur Health</v>
      </c>
    </row>
    <row r="8" customFormat="false" ht="15" hidden="false" customHeight="true" outlineLevel="0" collapsed="false">
      <c r="A8" s="63" t="s">
        <v>1158</v>
      </c>
      <c r="B8" s="63" t="s">
        <v>647</v>
      </c>
      <c r="C8" s="63" t="s">
        <v>930</v>
      </c>
      <c r="D8" s="63" t="s">
        <v>1159</v>
      </c>
      <c r="E8" s="63" t="s">
        <v>1160</v>
      </c>
      <c r="F8" s="69" t="n">
        <v>46037</v>
      </c>
      <c r="G8" s="69" t="n">
        <v>46235</v>
      </c>
      <c r="H8" s="63" t="s">
        <v>1154</v>
      </c>
      <c r="I8" s="66" t="str">
        <f aca="false">IF($B8="","",$B8&amp;" | "&amp;$C8)</f>
        <v>IP: patents and trademarks | Filed, awaiting examination or an office action</v>
      </c>
      <c r="J8" s="66" t="n">
        <f aca="false">IF($A8="","",COUNTIFS(Matters!$C$6:$C$604,$B8,Matters!$D$6:$D$604,$C8))</f>
        <v>2</v>
      </c>
      <c r="K8" s="66" t="str">
        <f aca="false">IF($A8="","",IF($J8=0,"none in the current data",IFERROR(INDEX(Matters!$A$6:$A$604,MATCH($I8,Matters!$S$6:$S$604,0))&amp;"  "&amp;INDEX(Matters!$B$6:$B$604,MATCH($I8,Matters!$S$6:$S$604,0)),"none in the current data")))</f>
        <v>M-1057  Patent application, Trenton Manufacturing</v>
      </c>
    </row>
    <row r="9" customFormat="false" ht="15" hidden="false" customHeight="true" outlineLevel="0" collapsed="false">
      <c r="A9" s="67" t="s">
        <v>1161</v>
      </c>
      <c r="B9" s="67" t="s">
        <v>647</v>
      </c>
      <c r="C9" s="67" t="s">
        <v>1162</v>
      </c>
      <c r="D9" s="67" t="s">
        <v>1159</v>
      </c>
      <c r="E9" s="67" t="s">
        <v>1163</v>
      </c>
      <c r="F9" s="70" t="n">
        <v>46037</v>
      </c>
      <c r="G9" s="70" t="n">
        <v>46235</v>
      </c>
      <c r="H9" s="67" t="s">
        <v>1154</v>
      </c>
      <c r="I9" s="66" t="str">
        <f aca="false">IF($B9="","",$B9&amp;" | "&amp;$C9)</f>
        <v>IP: patents and trademarks | Allowed, awaiting issue or registration</v>
      </c>
      <c r="J9" s="66" t="n">
        <f aca="false">IF($A9="","",COUNTIFS(Matters!$C$6:$C$604,$B9,Matters!$D$6:$D$604,$C9))</f>
        <v>0</v>
      </c>
      <c r="K9" s="66" t="str">
        <f aca="false">IF($A9="","",IF($J9=0,"none in the current data",IFERROR(INDEX(Matters!$A$6:$A$604,MATCH($I9,Matters!$S$6:$S$604,0))&amp;"  "&amp;INDEX(Matters!$B$6:$B$604,MATCH($I9,Matters!$S$6:$S$604,0)),"none in the current data")))</f>
        <v>none in the current data</v>
      </c>
    </row>
    <row r="10" customFormat="false" ht="15" hidden="false" customHeight="true" outlineLevel="0" collapsed="false">
      <c r="A10" s="63" t="s">
        <v>1164</v>
      </c>
      <c r="B10" s="63" t="s">
        <v>647</v>
      </c>
      <c r="C10" s="63" t="s">
        <v>648</v>
      </c>
      <c r="D10" s="63" t="s">
        <v>1165</v>
      </c>
      <c r="E10" s="63" t="s">
        <v>1166</v>
      </c>
      <c r="F10" s="69" t="n">
        <v>46174</v>
      </c>
      <c r="G10" s="69" t="n">
        <v>46235</v>
      </c>
      <c r="H10" s="63" t="s">
        <v>1154</v>
      </c>
      <c r="I10" s="66" t="str">
        <f aca="false">IF($B10="","",$B10&amp;" | "&amp;$C10)</f>
        <v>IP: patents and trademarks | Issued or registered, in maintenance</v>
      </c>
      <c r="J10" s="66" t="n">
        <f aca="false">IF($A10="","",COUNTIFS(Matters!$C$6:$C$604,$B10,Matters!$D$6:$D$604,$C10))</f>
        <v>10</v>
      </c>
      <c r="K10" s="66" t="str">
        <f aca="false">IF($A10="","",IF($J10=0,"none in the current data",IFERROR(INDEX(Matters!$A$6:$A$604,MATCH($I10,Matters!$S$6:$S$604,0))&amp;"  "&amp;INDEX(Matters!$B$6:$B$604,MATCH($I10,Matters!$S$6:$S$604,0)),"none in the current data")))</f>
        <v>M-1043  Patent maintenance, Ridgeline Systems</v>
      </c>
    </row>
    <row r="11" customFormat="false" ht="15" hidden="false" customHeight="true" outlineLevel="0" collapsed="false">
      <c r="A11" s="67" t="s">
        <v>1167</v>
      </c>
      <c r="B11" s="67" t="s">
        <v>647</v>
      </c>
      <c r="C11" s="67" t="s">
        <v>1168</v>
      </c>
      <c r="D11" s="67" t="s">
        <v>432</v>
      </c>
      <c r="E11" s="67" t="s">
        <v>1169</v>
      </c>
      <c r="F11" s="70" t="n">
        <v>46037</v>
      </c>
      <c r="G11" s="70" t="n">
        <v>46235</v>
      </c>
      <c r="H11" s="67" t="s">
        <v>1154</v>
      </c>
      <c r="I11" s="66" t="str">
        <f aca="false">IF($B11="","",$B11&amp;" | "&amp;$C11)</f>
        <v>IP: patents and trademarks | Abandoned, lapsed, or expired</v>
      </c>
      <c r="J11" s="66" t="n">
        <f aca="false">IF($A11="","",COUNTIFS(Matters!$C$6:$C$604,$B11,Matters!$D$6:$D$604,$C11))</f>
        <v>0</v>
      </c>
      <c r="K11" s="66" t="str">
        <f aca="false">IF($A11="","",IF($J11=0,"none in the current data",IFERROR(INDEX(Matters!$A$6:$A$604,MATCH($I11,Matters!$S$6:$S$604,0))&amp;"  "&amp;INDEX(Matters!$B$6:$B$604,MATCH($I11,Matters!$S$6:$S$604,0)),"none in the current data")))</f>
        <v>none in the current data</v>
      </c>
    </row>
    <row r="12" customFormat="false" ht="15" hidden="false" customHeight="true" outlineLevel="0" collapsed="false">
      <c r="A12" s="63" t="s">
        <v>1170</v>
      </c>
      <c r="B12" s="63" t="s">
        <v>454</v>
      </c>
      <c r="C12" s="63" t="s">
        <v>871</v>
      </c>
      <c r="D12" s="63" t="s">
        <v>1152</v>
      </c>
      <c r="E12" s="63" t="s">
        <v>1171</v>
      </c>
      <c r="F12" s="69" t="n">
        <v>46037</v>
      </c>
      <c r="G12" s="69" t="n">
        <v>46235</v>
      </c>
      <c r="H12" s="63" t="s">
        <v>1154</v>
      </c>
      <c r="I12" s="66" t="str">
        <f aca="false">IF($B12="","",$B12&amp;" | "&amp;$C12)</f>
        <v>Litigation | Pre-suit or demand received</v>
      </c>
      <c r="J12" s="66" t="n">
        <f aca="false">IF($A12="","",COUNTIFS(Matters!$C$6:$C$604,$B12,Matters!$D$6:$D$604,$C12))</f>
        <v>2</v>
      </c>
      <c r="K12" s="66" t="str">
        <f aca="false">IF($A12="","",IF($J12=0,"none in the current data",IFERROR(INDEX(Matters!$A$6:$A$604,MATCH($I12,Matters!$S$6:$S$604,0))&amp;"  "&amp;INDEX(Matters!$B$6:$B$604,MATCH($I12,Matters!$S$6:$S$604,0)),"none in the current data")))</f>
        <v>M-1167  Northwind v. Calder Foods</v>
      </c>
    </row>
    <row r="13" customFormat="false" ht="15" hidden="false" customHeight="true" outlineLevel="0" collapsed="false">
      <c r="A13" s="67" t="s">
        <v>1172</v>
      </c>
      <c r="B13" s="67" t="s">
        <v>454</v>
      </c>
      <c r="C13" s="67" t="s">
        <v>514</v>
      </c>
      <c r="D13" s="67" t="s">
        <v>1156</v>
      </c>
      <c r="E13" s="67" t="s">
        <v>1157</v>
      </c>
      <c r="F13" s="70" t="n">
        <v>46037</v>
      </c>
      <c r="G13" s="70" t="n">
        <v>46235</v>
      </c>
      <c r="H13" s="67" t="s">
        <v>1154</v>
      </c>
      <c r="I13" s="66" t="str">
        <f aca="false">IF($B13="","",$B13&amp;" | "&amp;$C13)</f>
        <v>Litigation | Active discovery, motions, or trial prep</v>
      </c>
      <c r="J13" s="66" t="n">
        <f aca="false">IF($A13="","",COUNTIFS(Matters!$C$6:$C$604,$B13,Matters!$D$6:$D$604,$C13))</f>
        <v>20</v>
      </c>
      <c r="K13" s="66" t="str">
        <f aca="false">IF($A13="","",IF($J13=0,"none in the current data",IFERROR(INDEX(Matters!$A$6:$A$604,MATCH($I13,Matters!$S$6:$S$604,0))&amp;"  "&amp;INDEX(Matters!$B$6:$B$604,MATCH($I13,Matters!$S$6:$S$604,0)),"none in the current data")))</f>
        <v>M-1196  Breach of contract, Trenton Manufacturing</v>
      </c>
    </row>
    <row r="14" customFormat="false" ht="15" hidden="false" customHeight="true" outlineLevel="0" collapsed="false">
      <c r="A14" s="63" t="s">
        <v>1173</v>
      </c>
      <c r="B14" s="63" t="s">
        <v>454</v>
      </c>
      <c r="C14" s="63" t="s">
        <v>657</v>
      </c>
      <c r="D14" s="63" t="s">
        <v>1159</v>
      </c>
      <c r="E14" s="63" t="s">
        <v>1174</v>
      </c>
      <c r="F14" s="69" t="n">
        <v>46037</v>
      </c>
      <c r="G14" s="69" t="n">
        <v>46235</v>
      </c>
      <c r="H14" s="63" t="s">
        <v>1154</v>
      </c>
      <c r="I14" s="66" t="str">
        <f aca="false">IF($B14="","",$B14&amp;" | "&amp;$C14)</f>
        <v>Litigation | Awaiting a ruling, a hearing date, or the other side</v>
      </c>
      <c r="J14" s="66" t="n">
        <f aca="false">IF($A14="","",COUNTIFS(Matters!$C$6:$C$604,$B14,Matters!$D$6:$D$604,$C14))</f>
        <v>5</v>
      </c>
      <c r="K14" s="66" t="str">
        <f aca="false">IF($A14="","",IF($J14=0,"none in the current data",IFERROR(INDEX(Matters!$A$6:$A$604,MATCH($I14,Matters!$S$6:$S$604,0))&amp;"  "&amp;INDEX(Matters!$B$6:$B$604,MATCH($I14,Matters!$S$6:$S$604,0)),"none in the current data")))</f>
        <v>M-1096  Estuary Bank v. Northwind</v>
      </c>
    </row>
    <row r="15" customFormat="false" ht="15" hidden="false" customHeight="true" outlineLevel="0" collapsed="false">
      <c r="A15" s="67" t="s">
        <v>1175</v>
      </c>
      <c r="B15" s="67" t="s">
        <v>454</v>
      </c>
      <c r="C15" s="67" t="s">
        <v>522</v>
      </c>
      <c r="D15" s="67" t="s">
        <v>1159</v>
      </c>
      <c r="E15" s="67" t="s">
        <v>1176</v>
      </c>
      <c r="F15" s="70" t="n">
        <v>46037</v>
      </c>
      <c r="G15" s="70" t="n">
        <v>46235</v>
      </c>
      <c r="H15" s="67" t="s">
        <v>1154</v>
      </c>
      <c r="I15" s="66" t="str">
        <f aca="false">IF($B15="","",$B15&amp;" | "&amp;$C15)</f>
        <v>Litigation | Stayed for a short period</v>
      </c>
      <c r="J15" s="66" t="n">
        <f aca="false">IF($A15="","",COUNTIFS(Matters!$C$6:$C$604,$B15,Matters!$D$6:$D$604,$C15))</f>
        <v>4</v>
      </c>
      <c r="K15" s="66" t="str">
        <f aca="false">IF($A15="","",IF($J15=0,"none in the current data",IFERROR(INDEX(Matters!$A$6:$A$604,MATCH($I15,Matters!$S$6:$S$604,0))&amp;"  "&amp;INDEX(Matters!$B$6:$B$604,MATCH($I15,Matters!$S$6:$S$604,0)),"none in the current data")))</f>
        <v>M-1198  Northwind v. Estuary Bank</v>
      </c>
    </row>
    <row r="16" customFormat="false" ht="15" hidden="false" customHeight="true" outlineLevel="0" collapsed="false">
      <c r="A16" s="63" t="s">
        <v>1177</v>
      </c>
      <c r="B16" s="63" t="s">
        <v>454</v>
      </c>
      <c r="C16" s="63" t="s">
        <v>1178</v>
      </c>
      <c r="D16" s="63" t="s">
        <v>1165</v>
      </c>
      <c r="E16" s="63" t="s">
        <v>1179</v>
      </c>
      <c r="F16" s="69" t="n">
        <v>46174</v>
      </c>
      <c r="G16" s="69" t="n">
        <v>46235</v>
      </c>
      <c r="H16" s="63" t="s">
        <v>1154</v>
      </c>
      <c r="I16" s="66" t="str">
        <f aca="false">IF($B16="","",$B16&amp;" | "&amp;$C16)</f>
        <v>Litigation | Stayed or on a long hold</v>
      </c>
      <c r="J16" s="66" t="n">
        <f aca="false">IF($A16="","",COUNTIFS(Matters!$C$6:$C$604,$B16,Matters!$D$6:$D$604,$C16))</f>
        <v>0</v>
      </c>
      <c r="K16" s="66" t="str">
        <f aca="false">IF($A16="","",IF($J16=0,"none in the current data",IFERROR(INDEX(Matters!$A$6:$A$604,MATCH($I16,Matters!$S$6:$S$604,0))&amp;"  "&amp;INDEX(Matters!$B$6:$B$604,MATCH($I16,Matters!$S$6:$S$604,0)),"none in the current data")))</f>
        <v>none in the current data</v>
      </c>
    </row>
    <row r="17" customFormat="false" ht="15" hidden="false" customHeight="true" outlineLevel="0" collapsed="false">
      <c r="A17" s="67" t="s">
        <v>1180</v>
      </c>
      <c r="B17" s="67" t="s">
        <v>454</v>
      </c>
      <c r="C17" s="67" t="s">
        <v>455</v>
      </c>
      <c r="D17" s="67" t="s">
        <v>432</v>
      </c>
      <c r="E17" s="67" t="s">
        <v>1169</v>
      </c>
      <c r="F17" s="70" t="n">
        <v>46037</v>
      </c>
      <c r="G17" s="70" t="n">
        <v>46235</v>
      </c>
      <c r="H17" s="67" t="s">
        <v>1154</v>
      </c>
      <c r="I17" s="66" t="str">
        <f aca="false">IF($B17="","",$B17&amp;" | "&amp;$C17)</f>
        <v>Litigation | Settled, dismissed, or judgment entered</v>
      </c>
      <c r="J17" s="66" t="n">
        <f aca="false">IF($A17="","",COUNTIFS(Matters!$C$6:$C$604,$B17,Matters!$D$6:$D$604,$C17))</f>
        <v>25</v>
      </c>
      <c r="K17" s="66" t="str">
        <f aca="false">IF($A17="","",IF($J17=0,"none in the current data",IFERROR(INDEX(Matters!$A$6:$A$604,MATCH($I17,Matters!$S$6:$S$604,0))&amp;"  "&amp;INDEX(Matters!$B$6:$B$604,MATCH($I17,Matters!$S$6:$S$604,0)),"none in the current data")))</f>
        <v>M-1301  Silverbrook Labs v. Northwind</v>
      </c>
    </row>
    <row r="18" customFormat="false" ht="15" hidden="false" customHeight="true" outlineLevel="0" collapsed="false">
      <c r="A18" s="63" t="s">
        <v>1181</v>
      </c>
      <c r="B18" s="63" t="s">
        <v>459</v>
      </c>
      <c r="C18" s="63" t="s">
        <v>579</v>
      </c>
      <c r="D18" s="63" t="s">
        <v>1152</v>
      </c>
      <c r="E18" s="63" t="s">
        <v>1182</v>
      </c>
      <c r="F18" s="69" t="n">
        <v>46037</v>
      </c>
      <c r="G18" s="69" t="n">
        <v>46235</v>
      </c>
      <c r="H18" s="63" t="s">
        <v>1154</v>
      </c>
      <c r="I18" s="66" t="str">
        <f aca="false">IF($B18="","",$B18&amp;" | "&amp;$C18)</f>
        <v>Contracts | Request received, not started</v>
      </c>
      <c r="J18" s="66" t="n">
        <f aca="false">IF($A18="","",COUNTIFS(Matters!$C$6:$C$604,$B18,Matters!$D$6:$D$604,$C18))</f>
        <v>2</v>
      </c>
      <c r="K18" s="66" t="str">
        <f aca="false">IF($A18="","",IF($J18=0,"none in the current data",IFERROR(INDEX(Matters!$A$6:$A$604,MATCH($I18,Matters!$S$6:$S$604,0))&amp;"  "&amp;INDEX(Matters!$B$6:$B$604,MATCH($I18,Matters!$S$6:$S$604,0)),"none in the current data")))</f>
        <v>M-1064  Reseller agreement, Larkspur Health</v>
      </c>
    </row>
    <row r="19" customFormat="false" ht="15" hidden="false" customHeight="true" outlineLevel="0" collapsed="false">
      <c r="A19" s="67" t="s">
        <v>1183</v>
      </c>
      <c r="B19" s="67" t="s">
        <v>459</v>
      </c>
      <c r="C19" s="67" t="s">
        <v>491</v>
      </c>
      <c r="D19" s="67" t="s">
        <v>1156</v>
      </c>
      <c r="E19" s="67" t="s">
        <v>1157</v>
      </c>
      <c r="F19" s="70" t="n">
        <v>46037</v>
      </c>
      <c r="G19" s="70" t="n">
        <v>46235</v>
      </c>
      <c r="H19" s="67" t="s">
        <v>1154</v>
      </c>
      <c r="I19" s="66" t="str">
        <f aca="false">IF($B19="","",$B19&amp;" | "&amp;$C19)</f>
        <v>Contracts | Drafting, review, or negotiation</v>
      </c>
      <c r="J19" s="66" t="n">
        <f aca="false">IF($A19="","",COUNTIFS(Matters!$C$6:$C$604,$B19,Matters!$D$6:$D$604,$C19))</f>
        <v>25</v>
      </c>
      <c r="K19" s="66" t="str">
        <f aca="false">IF($A19="","",IF($J19=0,"none in the current data",IFERROR(INDEX(Matters!$A$6:$A$604,MATCH($I19,Matters!$S$6:$S$604,0))&amp;"  "&amp;INDEX(Matters!$B$6:$B$604,MATCH($I19,Matters!$S$6:$S$604,0)),"none in the current data")))</f>
        <v>M-1084  DPA amendment, Pinnacle Freight</v>
      </c>
    </row>
    <row r="20" customFormat="false" ht="15" hidden="false" customHeight="true" outlineLevel="0" collapsed="false">
      <c r="A20" s="63" t="s">
        <v>1184</v>
      </c>
      <c r="B20" s="63" t="s">
        <v>459</v>
      </c>
      <c r="C20" s="63" t="s">
        <v>460</v>
      </c>
      <c r="D20" s="63" t="s">
        <v>1159</v>
      </c>
      <c r="E20" s="63" t="s">
        <v>1185</v>
      </c>
      <c r="F20" s="69" t="n">
        <v>46037</v>
      </c>
      <c r="G20" s="69" t="n">
        <v>46235</v>
      </c>
      <c r="H20" s="63" t="s">
        <v>1154</v>
      </c>
      <c r="I20" s="66" t="str">
        <f aca="false">IF($B20="","",$B20&amp;" | "&amp;$C20)</f>
        <v>Contracts | Out for signature or awaiting the counterparty</v>
      </c>
      <c r="J20" s="66" t="n">
        <f aca="false">IF($A20="","",COUNTIFS(Matters!$C$6:$C$604,$B20,Matters!$D$6:$D$604,$C20))</f>
        <v>10</v>
      </c>
      <c r="K20" s="66" t="str">
        <f aca="false">IF($A20="","",IF($J20=0,"none in the current data",IFERROR(INDEX(Matters!$A$6:$A$604,MATCH($I20,Matters!$S$6:$S$604,0))&amp;"  "&amp;INDEX(Matters!$B$6:$B$604,MATCH($I20,Matters!$S$6:$S$604,0)),"none in the current data")))</f>
        <v>M-1132  Reseller agreement, Estuary Bank</v>
      </c>
    </row>
    <row r="21" customFormat="false" ht="15" hidden="false" customHeight="true" outlineLevel="0" collapsed="false">
      <c r="A21" s="67" t="s">
        <v>1186</v>
      </c>
      <c r="B21" s="67" t="s">
        <v>459</v>
      </c>
      <c r="C21" s="67" t="s">
        <v>478</v>
      </c>
      <c r="D21" s="67" t="s">
        <v>432</v>
      </c>
      <c r="E21" s="67" t="s">
        <v>1187</v>
      </c>
      <c r="F21" s="70" t="n">
        <v>46037</v>
      </c>
      <c r="G21" s="70" t="n">
        <v>46235</v>
      </c>
      <c r="H21" s="67" t="s">
        <v>1154</v>
      </c>
      <c r="I21" s="66" t="str">
        <f aca="false">IF($B21="","",$B21&amp;" | "&amp;$C21)</f>
        <v>Contracts | Executed</v>
      </c>
      <c r="J21" s="66" t="n">
        <f aca="false">IF($A21="","",COUNTIFS(Matters!$C$6:$C$604,$B21,Matters!$D$6:$D$604,$C21))</f>
        <v>14</v>
      </c>
      <c r="K21" s="66" t="str">
        <f aca="false">IF($A21="","",IF($J21=0,"none in the current data",IFERROR(INDEX(Matters!$A$6:$A$604,MATCH($I21,Matters!$S$6:$S$604,0))&amp;"  "&amp;INDEX(Matters!$B$6:$B$604,MATCH($I21,Matters!$S$6:$S$604,0)),"none in the current data")))</f>
        <v>M-1267  Reseller agreement, Auburn Logistics</v>
      </c>
    </row>
    <row r="22" customFormat="false" ht="15" hidden="false" customHeight="true" outlineLevel="0" collapsed="false">
      <c r="A22" s="63" t="s">
        <v>1188</v>
      </c>
      <c r="B22" s="63" t="s">
        <v>459</v>
      </c>
      <c r="C22" s="63" t="s">
        <v>534</v>
      </c>
      <c r="D22" s="63" t="s">
        <v>1165</v>
      </c>
      <c r="E22" s="63" t="s">
        <v>1189</v>
      </c>
      <c r="F22" s="69" t="n">
        <v>46174</v>
      </c>
      <c r="G22" s="69" t="n">
        <v>46235</v>
      </c>
      <c r="H22" s="63" t="s">
        <v>1154</v>
      </c>
      <c r="I22" s="66" t="str">
        <f aca="false">IF($B22="","",$B22&amp;" | "&amp;$C22)</f>
        <v>Contracts | Standing agreement tracked for renewal</v>
      </c>
      <c r="J22" s="66" t="n">
        <f aca="false">IF($A22="","",COUNTIFS(Matters!$C$6:$C$604,$B22,Matters!$D$6:$D$604,$C22))</f>
        <v>10</v>
      </c>
      <c r="K22" s="66" t="str">
        <f aca="false">IF($A22="","",IF($J22=0,"none in the current data",IFERROR(INDEX(Matters!$A$6:$A$604,MATCH($I22,Matters!$S$6:$S$604,0))&amp;"  "&amp;INDEX(Matters!$B$6:$B$604,MATCH($I22,Matters!$S$6:$S$604,0)),"none in the current data")))</f>
        <v>M-1004  MSA with Halcyon Robotics</v>
      </c>
    </row>
    <row r="23" customFormat="false" ht="15" hidden="false" customHeight="true" outlineLevel="0" collapsed="false">
      <c r="A23" s="67" t="s">
        <v>1190</v>
      </c>
      <c r="B23" s="67" t="s">
        <v>459</v>
      </c>
      <c r="C23" s="67" t="s">
        <v>481</v>
      </c>
      <c r="D23" s="67" t="s">
        <v>432</v>
      </c>
      <c r="E23" s="67" t="s">
        <v>1169</v>
      </c>
      <c r="F23" s="70" t="n">
        <v>46037</v>
      </c>
      <c r="G23" s="70" t="n">
        <v>46235</v>
      </c>
      <c r="H23" s="67" t="s">
        <v>1154</v>
      </c>
      <c r="I23" s="66" t="str">
        <f aca="false">IF($B23="","",$B23&amp;" | "&amp;$C23)</f>
        <v>Contracts | Expired or terminated</v>
      </c>
      <c r="J23" s="66" t="n">
        <f aca="false">IF($A23="","",COUNTIFS(Matters!$C$6:$C$604,$B23,Matters!$D$6:$D$604,$C23))</f>
        <v>15</v>
      </c>
      <c r="K23" s="66" t="str">
        <f aca="false">IF($A23="","",IF($J23=0,"none in the current data",IFERROR(INDEX(Matters!$A$6:$A$604,MATCH($I23,Matters!$S$6:$S$604,0))&amp;"  "&amp;INDEX(Matters!$B$6:$B$604,MATCH($I23,Matters!$S$6:$S$604,0)),"none in the current data")))</f>
        <v>M-1376  NDA, Auburn Logistics</v>
      </c>
    </row>
    <row r="24" customFormat="false" ht="15" hidden="false" customHeight="true" outlineLevel="0" collapsed="false">
      <c r="A24" s="63" t="s">
        <v>1191</v>
      </c>
      <c r="B24" s="63" t="s">
        <v>446</v>
      </c>
      <c r="C24" s="63" t="s">
        <v>447</v>
      </c>
      <c r="D24" s="63" t="s">
        <v>1152</v>
      </c>
      <c r="E24" s="63" t="s">
        <v>1171</v>
      </c>
      <c r="F24" s="69" t="n">
        <v>46037</v>
      </c>
      <c r="G24" s="69" t="n">
        <v>46235</v>
      </c>
      <c r="H24" s="63" t="s">
        <v>1154</v>
      </c>
      <c r="I24" s="66" t="str">
        <f aca="false">IF($B24="","",$B24&amp;" | "&amp;$C24)</f>
        <v>Employment | Complaint or claim received</v>
      </c>
      <c r="J24" s="66" t="n">
        <f aca="false">IF($A24="","",COUNTIFS(Matters!$C$6:$C$604,$B24,Matters!$D$6:$D$604,$C24))</f>
        <v>5</v>
      </c>
      <c r="K24" s="66" t="str">
        <f aca="false">IF($A24="","",IF($J24=0,"none in the current data",IFERROR(INDEX(Matters!$A$6:$A$604,MATCH($I24,Matters!$S$6:$S$604,0))&amp;"  "&amp;INDEX(Matters!$B$6:$B$604,MATCH($I24,Matters!$S$6:$S$604,0)),"none in the current data")))</f>
        <v>M-1065  Investigation, Calder Foods matter</v>
      </c>
    </row>
    <row r="25" customFormat="false" ht="15" hidden="false" customHeight="true" outlineLevel="0" collapsed="false">
      <c r="A25" s="67" t="s">
        <v>1192</v>
      </c>
      <c r="B25" s="67" t="s">
        <v>446</v>
      </c>
      <c r="C25" s="67" t="s">
        <v>545</v>
      </c>
      <c r="D25" s="67" t="s">
        <v>1156</v>
      </c>
      <c r="E25" s="67" t="s">
        <v>1157</v>
      </c>
      <c r="F25" s="70" t="n">
        <v>46037</v>
      </c>
      <c r="G25" s="70" t="n">
        <v>46235</v>
      </c>
      <c r="H25" s="67" t="s">
        <v>1154</v>
      </c>
      <c r="I25" s="66" t="str">
        <f aca="false">IF($B25="","",$B25&amp;" | "&amp;$C25)</f>
        <v>Employment | Investigation underway</v>
      </c>
      <c r="J25" s="66" t="n">
        <f aca="false">IF($A25="","",COUNTIFS(Matters!$C$6:$C$604,$B25,Matters!$D$6:$D$604,$C25))</f>
        <v>23</v>
      </c>
      <c r="K25" s="66" t="str">
        <f aca="false">IF($A25="","",IF($J25=0,"none in the current data",IFERROR(INDEX(Matters!$A$6:$A$604,MATCH($I25,Matters!$S$6:$S$604,0))&amp;"  "&amp;INDEX(Matters!$B$6:$B$604,MATCH($I25,Matters!$S$6:$S$604,0)),"none in the current data")))</f>
        <v>M-1223  Policy review, Quillon Devices</v>
      </c>
    </row>
    <row r="26" customFormat="false" ht="15" hidden="false" customHeight="true" outlineLevel="0" collapsed="false">
      <c r="A26" s="63" t="s">
        <v>1193</v>
      </c>
      <c r="B26" s="63" t="s">
        <v>446</v>
      </c>
      <c r="C26" s="63" t="s">
        <v>563</v>
      </c>
      <c r="D26" s="63" t="s">
        <v>1159</v>
      </c>
      <c r="E26" s="63" t="s">
        <v>1185</v>
      </c>
      <c r="F26" s="69" t="n">
        <v>46037</v>
      </c>
      <c r="G26" s="69" t="n">
        <v>46235</v>
      </c>
      <c r="H26" s="63" t="s">
        <v>1154</v>
      </c>
      <c r="I26" s="66" t="str">
        <f aca="false">IF($B26="","",$B26&amp;" | "&amp;$C26)</f>
        <v>Employment | Awaiting the employee, an agency, or outside counsel</v>
      </c>
      <c r="J26" s="66" t="n">
        <f aca="false">IF($A26="","",COUNTIFS(Matters!$C$6:$C$604,$B26,Matters!$D$6:$D$604,$C26))</f>
        <v>13</v>
      </c>
      <c r="K26" s="66" t="str">
        <f aca="false">IF($A26="","",IF($J26=0,"none in the current data",IFERROR(INDEX(Matters!$A$6:$A$604,MATCH($I26,Matters!$S$6:$S$604,0))&amp;"  "&amp;INDEX(Matters!$B$6:$B$604,MATCH($I26,Matters!$S$6:$S$604,0)),"none in the current data")))</f>
        <v>M-1218  Accommodation request, Trenton Manufacturing</v>
      </c>
    </row>
    <row r="27" customFormat="false" ht="15" hidden="false" customHeight="true" outlineLevel="0" collapsed="false">
      <c r="A27" s="67" t="s">
        <v>1194</v>
      </c>
      <c r="B27" s="67" t="s">
        <v>446</v>
      </c>
      <c r="C27" s="67" t="s">
        <v>473</v>
      </c>
      <c r="D27" s="67" t="s">
        <v>432</v>
      </c>
      <c r="E27" s="67" t="s">
        <v>1169</v>
      </c>
      <c r="F27" s="70" t="n">
        <v>46037</v>
      </c>
      <c r="G27" s="70" t="n">
        <v>46235</v>
      </c>
      <c r="H27" s="67" t="s">
        <v>1154</v>
      </c>
      <c r="I27" s="66" t="str">
        <f aca="false">IF($B27="","",$B27&amp;" | "&amp;$C27)</f>
        <v>Employment | Resolved or closed</v>
      </c>
      <c r="J27" s="66" t="n">
        <f aca="false">IF($A27="","",COUNTIFS(Matters!$C$6:$C$604,$B27,Matters!$D$6:$D$604,$C27))</f>
        <v>38</v>
      </c>
      <c r="K27" s="66" t="str">
        <f aca="false">IF($A27="","",IF($J27=0,"none in the current data",IFERROR(INDEX(Matters!$A$6:$A$604,MATCH($I27,Matters!$S$6:$S$604,0))&amp;"  "&amp;INDEX(Matters!$B$6:$B$604,MATCH($I27,Matters!$S$6:$S$604,0)),"none in the current data")))</f>
        <v>M-1360  Separation agreement, Ridgeline Systems</v>
      </c>
    </row>
    <row r="28" customFormat="false" ht="15" hidden="false" customHeight="true" outlineLevel="0" collapsed="false">
      <c r="A28" s="63" t="s">
        <v>1195</v>
      </c>
      <c r="B28" s="63" t="s">
        <v>465</v>
      </c>
      <c r="C28" s="63" t="s">
        <v>506</v>
      </c>
      <c r="D28" s="63" t="s">
        <v>1152</v>
      </c>
      <c r="E28" s="63" t="s">
        <v>1171</v>
      </c>
      <c r="F28" s="69" t="n">
        <v>46037</v>
      </c>
      <c r="G28" s="69" t="n">
        <v>46235</v>
      </c>
      <c r="H28" s="63" t="s">
        <v>1154</v>
      </c>
      <c r="I28" s="66" t="str">
        <f aca="false">IF($B28="","",$B28&amp;" | "&amp;$C28)</f>
        <v>Immigration and visas | Case opened, gathering documents</v>
      </c>
      <c r="J28" s="66" t="n">
        <f aca="false">IF($A28="","",COUNTIFS(Matters!$C$6:$C$604,$B28,Matters!$D$6:$D$604,$C28))</f>
        <v>4</v>
      </c>
      <c r="K28" s="66" t="str">
        <f aca="false">IF($A28="","",IF($J28=0,"none in the current data",IFERROR(INDEX(Matters!$A$6:$A$604,MATCH($I28,Matters!$S$6:$S$604,0))&amp;"  "&amp;INDEX(Matters!$B$6:$B$604,MATCH($I28,Matters!$S$6:$S$604,0)),"none in the current data")))</f>
        <v>M-1178  Green card, PERM, Auburn Logistics</v>
      </c>
    </row>
    <row r="29" customFormat="false" ht="15" hidden="false" customHeight="true" outlineLevel="0" collapsed="false">
      <c r="A29" s="67" t="s">
        <v>1196</v>
      </c>
      <c r="B29" s="67" t="s">
        <v>465</v>
      </c>
      <c r="C29" s="67" t="s">
        <v>469</v>
      </c>
      <c r="D29" s="67" t="s">
        <v>1156</v>
      </c>
      <c r="E29" s="67" t="s">
        <v>1157</v>
      </c>
      <c r="F29" s="70" t="n">
        <v>46037</v>
      </c>
      <c r="G29" s="70" t="n">
        <v>46235</v>
      </c>
      <c r="H29" s="67" t="s">
        <v>1154</v>
      </c>
      <c r="I29" s="66" t="str">
        <f aca="false">IF($B29="","",$B29&amp;" | "&amp;$C29)</f>
        <v>Immigration and visas | Petition or an evidence response being prepared</v>
      </c>
      <c r="J29" s="66" t="n">
        <f aca="false">IF($A29="","",COUNTIFS(Matters!$C$6:$C$604,$B29,Matters!$D$6:$D$604,$C29))</f>
        <v>26</v>
      </c>
      <c r="K29" s="66" t="str">
        <f aca="false">IF($A29="","",IF($J29=0,"none in the current data",IFERROR(INDEX(Matters!$A$6:$A$604,MATCH($I29,Matters!$S$6:$S$604,0))&amp;"  "&amp;INDEX(Matters!$B$6:$B$604,MATCH($I29,Matters!$S$6:$S$604,0)),"none in the current data")))</f>
        <v>M-1136  Visa renewal, Calder Foods</v>
      </c>
    </row>
    <row r="30" customFormat="false" ht="15" hidden="false" customHeight="true" outlineLevel="0" collapsed="false">
      <c r="A30" s="63" t="s">
        <v>1197</v>
      </c>
      <c r="B30" s="63" t="s">
        <v>465</v>
      </c>
      <c r="C30" s="63" t="s">
        <v>586</v>
      </c>
      <c r="D30" s="63" t="s">
        <v>1159</v>
      </c>
      <c r="E30" s="63" t="s">
        <v>1198</v>
      </c>
      <c r="F30" s="69" t="n">
        <v>46037</v>
      </c>
      <c r="G30" s="69" t="n">
        <v>46235</v>
      </c>
      <c r="H30" s="63" t="s">
        <v>1154</v>
      </c>
      <c r="I30" s="66" t="str">
        <f aca="false">IF($B30="","",$B30&amp;" | "&amp;$C30)</f>
        <v>Immigration and visas | Filed, awaiting a decision or with an evidence request pending</v>
      </c>
      <c r="J30" s="66" t="n">
        <f aca="false">IF($A30="","",COUNTIFS(Matters!$C$6:$C$604,$B30,Matters!$D$6:$D$604,$C30))</f>
        <v>8</v>
      </c>
      <c r="K30" s="66" t="str">
        <f aca="false">IF($A30="","",IF($J30=0,"none in the current data",IFERROR(INDEX(Matters!$A$6:$A$604,MATCH($I30,Matters!$S$6:$S$604,0))&amp;"  "&amp;INDEX(Matters!$B$6:$B$604,MATCH($I30,Matters!$S$6:$S$604,0)),"none in the current data")))</f>
        <v>M-1138  Visa renewal, Fieldstone Partners</v>
      </c>
    </row>
    <row r="31" customFormat="false" ht="15" hidden="false" customHeight="true" outlineLevel="0" collapsed="false">
      <c r="A31" s="67" t="s">
        <v>1199</v>
      </c>
      <c r="B31" s="67" t="s">
        <v>465</v>
      </c>
      <c r="C31" s="67" t="s">
        <v>509</v>
      </c>
      <c r="D31" s="67" t="s">
        <v>1165</v>
      </c>
      <c r="E31" s="67" t="s">
        <v>1200</v>
      </c>
      <c r="F31" s="70" t="n">
        <v>46174</v>
      </c>
      <c r="G31" s="70" t="n">
        <v>46235</v>
      </c>
      <c r="H31" s="67" t="s">
        <v>1154</v>
      </c>
      <c r="I31" s="66" t="str">
        <f aca="false">IF($B31="","",$B31&amp;" | "&amp;$C31)</f>
        <v>Immigration and visas | Approved, renewal window tracked</v>
      </c>
      <c r="J31" s="66" t="n">
        <f aca="false">IF($A31="","",COUNTIFS(Matters!$C$6:$C$604,$B31,Matters!$D$6:$D$604,$C31))</f>
        <v>12</v>
      </c>
      <c r="K31" s="66" t="str">
        <f aca="false">IF($A31="","",IF($J31=0,"none in the current data",IFERROR(INDEX(Matters!$A$6:$A$604,MATCH($I31,Matters!$S$6:$S$604,0))&amp;"  "&amp;INDEX(Matters!$B$6:$B$604,MATCH($I31,Matters!$S$6:$S$604,0)),"none in the current data")))</f>
        <v>M-1025  Visa renewal, Pinnacle Freight</v>
      </c>
    </row>
    <row r="32" customFormat="false" ht="15" hidden="false" customHeight="true" outlineLevel="0" collapsed="false">
      <c r="A32" s="63" t="s">
        <v>1201</v>
      </c>
      <c r="B32" s="63" t="s">
        <v>465</v>
      </c>
      <c r="C32" s="63" t="s">
        <v>466</v>
      </c>
      <c r="D32" s="63" t="s">
        <v>432</v>
      </c>
      <c r="E32" s="63" t="s">
        <v>1169</v>
      </c>
      <c r="F32" s="69" t="n">
        <v>46037</v>
      </c>
      <c r="G32" s="69" t="n">
        <v>46235</v>
      </c>
      <c r="H32" s="63" t="s">
        <v>1154</v>
      </c>
      <c r="I32" s="66" t="str">
        <f aca="false">IF($B32="","",$B32&amp;" | "&amp;$C32)</f>
        <v>Immigration and visas | Denied or withdrawn</v>
      </c>
      <c r="J32" s="66" t="n">
        <f aca="false">IF($A32="","",COUNTIFS(Matters!$C$6:$C$604,$B32,Matters!$D$6:$D$604,$C32))</f>
        <v>17</v>
      </c>
      <c r="K32" s="66" t="str">
        <f aca="false">IF($A32="","",IF($J32=0,"none in the current data",IFERROR(INDEX(Matters!$A$6:$A$604,MATCH($I32,Matters!$S$6:$S$604,0))&amp;"  "&amp;INDEX(Matters!$B$6:$B$604,MATCH($I32,Matters!$S$6:$S$604,0)),"none in the current data")))</f>
        <v>M-1341  L-1 transfer, Larkspur Health</v>
      </c>
    </row>
    <row r="33" customFormat="false" ht="15" hidden="false" customHeight="true" outlineLevel="0" collapsed="false">
      <c r="A33" s="67" t="s">
        <v>1202</v>
      </c>
      <c r="B33" s="67" t="s">
        <v>501</v>
      </c>
      <c r="C33" s="67" t="s">
        <v>1093</v>
      </c>
      <c r="D33" s="67" t="s">
        <v>1152</v>
      </c>
      <c r="E33" s="67" t="s">
        <v>1171</v>
      </c>
      <c r="F33" s="70" t="n">
        <v>46037</v>
      </c>
      <c r="G33" s="70" t="n">
        <v>46235</v>
      </c>
      <c r="H33" s="67" t="s">
        <v>1154</v>
      </c>
      <c r="I33" s="66" t="str">
        <f aca="false">IF($B33="","",$B33&amp;" | "&amp;$C33)</f>
        <v>M&amp;A and corporate deals | Opportunity logged, not yet worked</v>
      </c>
      <c r="J33" s="66" t="n">
        <f aca="false">IF($A33="","",COUNTIFS(Matters!$C$6:$C$604,$B33,Matters!$D$6:$D$604,$C33))</f>
        <v>1</v>
      </c>
      <c r="K33" s="66" t="str">
        <f aca="false">IF($A33="","",IF($J33=0,"none in the current data",IFERROR(INDEX(Matters!$A$6:$A$604,MATCH($I33,Matters!$S$6:$S$604,0))&amp;"  "&amp;INDEX(Matters!$B$6:$B$604,MATCH($I33,Matters!$S$6:$S$604,0)),"none in the current data")))</f>
        <v>M-1159  Post-closing obligations, Nordhaven Group</v>
      </c>
    </row>
    <row r="34" customFormat="false" ht="15" hidden="false" customHeight="true" outlineLevel="0" collapsed="false">
      <c r="A34" s="63" t="s">
        <v>1203</v>
      </c>
      <c r="B34" s="63" t="s">
        <v>501</v>
      </c>
      <c r="C34" s="63" t="s">
        <v>720</v>
      </c>
      <c r="D34" s="63" t="s">
        <v>1156</v>
      </c>
      <c r="E34" s="63" t="s">
        <v>1157</v>
      </c>
      <c r="F34" s="69" t="n">
        <v>46037</v>
      </c>
      <c r="G34" s="69" t="n">
        <v>46235</v>
      </c>
      <c r="H34" s="63" t="s">
        <v>1154</v>
      </c>
      <c r="I34" s="66" t="str">
        <f aca="false">IF($B34="","",$B34&amp;" | "&amp;$C34)</f>
        <v>M&amp;A and corporate deals | Term sheet or letter of intent under discussion</v>
      </c>
      <c r="J34" s="66" t="n">
        <f aca="false">IF($A34="","",COUNTIFS(Matters!$C$6:$C$604,$B34,Matters!$D$6:$D$604,$C34))</f>
        <v>5</v>
      </c>
      <c r="K34" s="66" t="str">
        <f aca="false">IF($A34="","",IF($J34=0,"none in the current data",IFERROR(INDEX(Matters!$A$6:$A$604,MATCH($I34,Matters!$S$6:$S$604,0))&amp;"  "&amp;INDEX(Matters!$B$6:$B$604,MATCH($I34,Matters!$S$6:$S$604,0)),"none in the current data")))</f>
        <v>M-1152  Joint venture, Overton Energy</v>
      </c>
    </row>
    <row r="35" customFormat="false" ht="15" hidden="false" customHeight="true" outlineLevel="0" collapsed="false">
      <c r="A35" s="67" t="s">
        <v>1204</v>
      </c>
      <c r="B35" s="67" t="s">
        <v>501</v>
      </c>
      <c r="C35" s="67" t="s">
        <v>683</v>
      </c>
      <c r="D35" s="67" t="s">
        <v>1156</v>
      </c>
      <c r="E35" s="67" t="s">
        <v>1157</v>
      </c>
      <c r="F35" s="70" t="n">
        <v>46037</v>
      </c>
      <c r="G35" s="70" t="n">
        <v>46235</v>
      </c>
      <c r="H35" s="67" t="s">
        <v>1154</v>
      </c>
      <c r="I35" s="66" t="str">
        <f aca="false">IF($B35="","",$B35&amp;" | "&amp;$C35)</f>
        <v>M&amp;A and corporate deals | Due diligence and negotiation underway</v>
      </c>
      <c r="J35" s="66" t="n">
        <f aca="false">IF($A35="","",COUNTIFS(Matters!$C$6:$C$604,$B35,Matters!$D$6:$D$604,$C35))</f>
        <v>8</v>
      </c>
      <c r="K35" s="66" t="str">
        <f aca="false">IF($A35="","",IF($J35=0,"none in the current data",IFERROR(INDEX(Matters!$A$6:$A$604,MATCH($I35,Matters!$S$6:$S$604,0))&amp;"  "&amp;INDEX(Matters!$B$6:$B$604,MATCH($I35,Matters!$S$6:$S$604,0)),"none in the current data")))</f>
        <v>M-1094  Joint venture, Larkspur Health</v>
      </c>
    </row>
    <row r="36" customFormat="false" ht="15" hidden="false" customHeight="true" outlineLevel="0" collapsed="false">
      <c r="A36" s="63" t="s">
        <v>1205</v>
      </c>
      <c r="B36" s="63" t="s">
        <v>501</v>
      </c>
      <c r="C36" s="63" t="s">
        <v>531</v>
      </c>
      <c r="D36" s="63" t="s">
        <v>1159</v>
      </c>
      <c r="E36" s="63" t="s">
        <v>1206</v>
      </c>
      <c r="F36" s="69" t="n">
        <v>46037</v>
      </c>
      <c r="G36" s="69" t="n">
        <v>46235</v>
      </c>
      <c r="H36" s="63" t="s">
        <v>1154</v>
      </c>
      <c r="I36" s="66" t="str">
        <f aca="false">IF($B36="","",$B36&amp;" | "&amp;$C36)</f>
        <v>M&amp;A and corporate deals | Signed, awaiting regulatory approval or closing conditions</v>
      </c>
      <c r="J36" s="66" t="n">
        <f aca="false">IF($A36="","",COUNTIFS(Matters!$C$6:$C$604,$B36,Matters!$D$6:$D$604,$C36))</f>
        <v>6</v>
      </c>
      <c r="K36" s="66" t="str">
        <f aca="false">IF($A36="","",IF($J36=0,"none in the current data",IFERROR(INDEX(Matters!$A$6:$A$604,MATCH($I36,Matters!$S$6:$S$604,0))&amp;"  "&amp;INDEX(Matters!$B$6:$B$604,MATCH($I36,Matters!$S$6:$S$604,0)),"none in the current data")))</f>
        <v>M-1190  Joint venture, Silverbrook Labs</v>
      </c>
    </row>
    <row r="37" customFormat="false" ht="15" hidden="false" customHeight="true" outlineLevel="0" collapsed="false">
      <c r="A37" s="67" t="s">
        <v>1207</v>
      </c>
      <c r="B37" s="67" t="s">
        <v>501</v>
      </c>
      <c r="C37" s="67" t="s">
        <v>502</v>
      </c>
      <c r="D37" s="67" t="s">
        <v>432</v>
      </c>
      <c r="E37" s="67" t="s">
        <v>1208</v>
      </c>
      <c r="F37" s="70" t="n">
        <v>46037</v>
      </c>
      <c r="G37" s="70" t="n">
        <v>46235</v>
      </c>
      <c r="H37" s="67" t="s">
        <v>1154</v>
      </c>
      <c r="I37" s="66" t="str">
        <f aca="false">IF($B37="","",$B37&amp;" | "&amp;$C37)</f>
        <v>M&amp;A and corporate deals | Deal closed</v>
      </c>
      <c r="J37" s="66" t="n">
        <f aca="false">IF($A37="","",COUNTIFS(Matters!$C$6:$C$604,$B37,Matters!$D$6:$D$604,$C37))</f>
        <v>33</v>
      </c>
      <c r="K37" s="66" t="str">
        <f aca="false">IF($A37="","",IF($J37=0,"none in the current data",IFERROR(INDEX(Matters!$A$6:$A$604,MATCH($I37,Matters!$S$6:$S$604,0))&amp;"  "&amp;INDEX(Matters!$B$6:$B$604,MATCH($I37,Matters!$S$6:$S$604,0)),"none in the current data")))</f>
        <v>M-1343  Acquisition of Gallant Foods</v>
      </c>
    </row>
    <row r="38" customFormat="false" ht="15" hidden="false" customHeight="true" outlineLevel="0" collapsed="false">
      <c r="A38" s="63" t="s">
        <v>1209</v>
      </c>
      <c r="B38" s="63" t="s">
        <v>501</v>
      </c>
      <c r="C38" s="63" t="s">
        <v>517</v>
      </c>
      <c r="D38" s="63" t="s">
        <v>1165</v>
      </c>
      <c r="E38" s="63" t="s">
        <v>1210</v>
      </c>
      <c r="F38" s="69" t="n">
        <v>46174</v>
      </c>
      <c r="G38" s="69" t="n">
        <v>46235</v>
      </c>
      <c r="H38" s="63" t="s">
        <v>1154</v>
      </c>
      <c r="I38" s="66" t="str">
        <f aca="false">IF($B38="","",$B38&amp;" | "&amp;$C38)</f>
        <v>M&amp;A and corporate deals | Post-closing obligations tracked</v>
      </c>
      <c r="J38" s="66" t="n">
        <f aca="false">IF($A38="","",COUNTIFS(Matters!$C$6:$C$604,$B38,Matters!$D$6:$D$604,$C38))</f>
        <v>8</v>
      </c>
      <c r="K38" s="66" t="str">
        <f aca="false">IF($A38="","",IF($J38=0,"none in the current data",IFERROR(INDEX(Matters!$A$6:$A$604,MATCH($I38,Matters!$S$6:$S$604,0))&amp;"  "&amp;INDEX(Matters!$B$6:$B$604,MATCH($I38,Matters!$S$6:$S$604,0)),"none in the current data")))</f>
        <v>M-1007  Joint venture, Ridgeline Systems</v>
      </c>
    </row>
    <row r="39" customFormat="false" ht="15" hidden="false" customHeight="true" outlineLevel="0" collapsed="false">
      <c r="A39" s="67" t="s">
        <v>1211</v>
      </c>
      <c r="B39" s="67" t="s">
        <v>487</v>
      </c>
      <c r="C39" s="67" t="s">
        <v>488</v>
      </c>
      <c r="D39" s="67" t="s">
        <v>1152</v>
      </c>
      <c r="E39" s="67" t="s">
        <v>1153</v>
      </c>
      <c r="F39" s="70" t="n">
        <v>46037</v>
      </c>
      <c r="G39" s="70" t="n">
        <v>46235</v>
      </c>
      <c r="H39" s="67" t="s">
        <v>1154</v>
      </c>
      <c r="I39" s="66" t="str">
        <f aca="false">IF($B39="","",$B39&amp;" | "&amp;$C39)</f>
        <v>Corporate and entity management | Request logged, not started</v>
      </c>
      <c r="J39" s="66" t="n">
        <f aca="false">IF($A39="","",COUNTIFS(Matters!$C$6:$C$604,$B39,Matters!$D$6:$D$604,$C39))</f>
        <v>2</v>
      </c>
      <c r="K39" s="66" t="str">
        <f aca="false">IF($A39="","",IF($J39=0,"none in the current data",IFERROR(INDEX(Matters!$A$6:$A$604,MATCH($I39,Matters!$S$6:$S$604,0))&amp;"  "&amp;INDEX(Matters!$B$6:$B$604,MATCH($I39,Matters!$S$6:$S$604,0)),"none in the current data")))</f>
        <v>M-1217  Annual filing, Sable Chemicals</v>
      </c>
    </row>
    <row r="40" customFormat="false" ht="15" hidden="false" customHeight="true" outlineLevel="0" collapsed="false">
      <c r="A40" s="63" t="s">
        <v>1212</v>
      </c>
      <c r="B40" s="63" t="s">
        <v>487</v>
      </c>
      <c r="C40" s="63" t="s">
        <v>636</v>
      </c>
      <c r="D40" s="63" t="s">
        <v>1156</v>
      </c>
      <c r="E40" s="63" t="s">
        <v>1213</v>
      </c>
      <c r="F40" s="69" t="n">
        <v>46037</v>
      </c>
      <c r="G40" s="69" t="n">
        <v>46235</v>
      </c>
      <c r="H40" s="63" t="s">
        <v>1154</v>
      </c>
      <c r="I40" s="66" t="str">
        <f aca="false">IF($B40="","",$B40&amp;" | "&amp;$C40)</f>
        <v>Corporate and entity management | Formation, change, or dissolution in progress</v>
      </c>
      <c r="J40" s="66" t="n">
        <f aca="false">IF($A40="","",COUNTIFS(Matters!$C$6:$C$604,$B40,Matters!$D$6:$D$604,$C40))</f>
        <v>12</v>
      </c>
      <c r="K40" s="66" t="str">
        <f aca="false">IF($A40="","",IF($J40=0,"none in the current data",IFERROR(INDEX(Matters!$A$6:$A$604,MATCH($I40,Matters!$S$6:$S$604,0))&amp;"  "&amp;INDEX(Matters!$B$6:$B$604,MATCH($I40,Matters!$S$6:$S$604,0)),"none in the current data")))</f>
        <v>M-1207  Entity formation, Bexley Software</v>
      </c>
    </row>
    <row r="41" customFormat="false" ht="15" hidden="false" customHeight="true" outlineLevel="0" collapsed="false">
      <c r="A41" s="67" t="s">
        <v>1214</v>
      </c>
      <c r="B41" s="67" t="s">
        <v>487</v>
      </c>
      <c r="C41" s="67" t="s">
        <v>751</v>
      </c>
      <c r="D41" s="67" t="s">
        <v>1159</v>
      </c>
      <c r="E41" s="67" t="s">
        <v>1215</v>
      </c>
      <c r="F41" s="70" t="n">
        <v>46037</v>
      </c>
      <c r="G41" s="70" t="n">
        <v>46235</v>
      </c>
      <c r="H41" s="67" t="s">
        <v>1154</v>
      </c>
      <c r="I41" s="66" t="str">
        <f aca="false">IF($B41="","",$B41&amp;" | "&amp;$C41)</f>
        <v>Corporate and entity management | Awaiting a state or registry filing to process</v>
      </c>
      <c r="J41" s="66" t="n">
        <f aca="false">IF($A41="","",COUNTIFS(Matters!$C$6:$C$604,$B41,Matters!$D$6:$D$604,$C41))</f>
        <v>2</v>
      </c>
      <c r="K41" s="66" t="str">
        <f aca="false">IF($A41="","",IF($J41=0,"none in the current data",IFERROR(INDEX(Matters!$A$6:$A$604,MATCH($I41,Matters!$S$6:$S$604,0))&amp;"  "&amp;INDEX(Matters!$B$6:$B$604,MATCH($I41,Matters!$S$6:$S$604,0)),"none in the current data")))</f>
        <v>M-1232  Entity dissolution, Halcyon Robotics</v>
      </c>
    </row>
    <row r="42" customFormat="false" ht="15" hidden="false" customHeight="true" outlineLevel="0" collapsed="false">
      <c r="A42" s="63" t="s">
        <v>1216</v>
      </c>
      <c r="B42" s="63" t="s">
        <v>487</v>
      </c>
      <c r="C42" s="63" t="s">
        <v>548</v>
      </c>
      <c r="D42" s="63" t="s">
        <v>1165</v>
      </c>
      <c r="E42" s="63" t="s">
        <v>1217</v>
      </c>
      <c r="F42" s="69" t="n">
        <v>46174</v>
      </c>
      <c r="G42" s="69" t="n">
        <v>46235</v>
      </c>
      <c r="H42" s="63" t="s">
        <v>1154</v>
      </c>
      <c r="I42" s="66" t="str">
        <f aca="false">IF($B42="","",$B42&amp;" | "&amp;$C42)</f>
        <v>Corporate and entity management | Entity in good standing</v>
      </c>
      <c r="J42" s="66" t="n">
        <f aca="false">IF($A42="","",COUNTIFS(Matters!$C$6:$C$604,$B42,Matters!$D$6:$D$604,$C42))</f>
        <v>8</v>
      </c>
      <c r="K42" s="66" t="str">
        <f aca="false">IF($A42="","",IF($J42=0,"none in the current data",IFERROR(INDEX(Matters!$A$6:$A$604,MATCH($I42,Matters!$S$6:$S$604,0))&amp;"  "&amp;INDEX(Matters!$B$6:$B$604,MATCH($I42,Matters!$S$6:$S$604,0)),"none in the current data")))</f>
        <v>M-1016  Annual filing, Trenton Manufacturing</v>
      </c>
    </row>
    <row r="43" customFormat="false" ht="15" hidden="false" customHeight="true" outlineLevel="0" collapsed="false">
      <c r="A43" s="67" t="s">
        <v>1218</v>
      </c>
      <c r="B43" s="67" t="s">
        <v>487</v>
      </c>
      <c r="C43" s="67" t="s">
        <v>601</v>
      </c>
      <c r="D43" s="67" t="s">
        <v>432</v>
      </c>
      <c r="E43" s="67" t="s">
        <v>1169</v>
      </c>
      <c r="F43" s="70" t="n">
        <v>46037</v>
      </c>
      <c r="G43" s="70" t="n">
        <v>46235</v>
      </c>
      <c r="H43" s="67" t="s">
        <v>1154</v>
      </c>
      <c r="I43" s="66" t="str">
        <f aca="false">IF($B43="","",$B43&amp;" | "&amp;$C43)</f>
        <v>Corporate and entity management | Entity dissolved</v>
      </c>
      <c r="J43" s="66" t="n">
        <f aca="false">IF($A43="","",COUNTIFS(Matters!$C$6:$C$604,$B43,Matters!$D$6:$D$604,$C43))</f>
        <v>14</v>
      </c>
      <c r="K43" s="66" t="str">
        <f aca="false">IF($A43="","",IF($J43=0,"none in the current data",IFERROR(INDEX(Matters!$A$6:$A$604,MATCH($I43,Matters!$S$6:$S$604,0))&amp;"  "&amp;INDEX(Matters!$B$6:$B$604,MATCH($I43,Matters!$S$6:$S$604,0)),"none in the current data")))</f>
        <v>M-1316  Entity dissolution, Ridgeline Systems</v>
      </c>
    </row>
    <row r="44" customFormat="false" ht="15" hidden="false" customHeight="true" outlineLevel="0" collapsed="false">
      <c r="A44" s="63"/>
      <c r="B44" s="63"/>
      <c r="C44" s="63"/>
      <c r="D44" s="63"/>
      <c r="E44" s="63"/>
      <c r="F44" s="69"/>
      <c r="G44" s="69"/>
      <c r="H44" s="63"/>
      <c r="I44" s="66" t="str">
        <f aca="false">IF($B44="","",$B44&amp;" | "&amp;$C44)</f>
        <v/>
      </c>
      <c r="J44" s="66" t="str">
        <f aca="false">IF($A44="","",COUNTIFS(Matters!$C$6:$C$604,$B44,Matters!$D$6:$D$604,$C44))</f>
        <v/>
      </c>
      <c r="K44" s="66" t="str">
        <f aca="false">IF($A44="","",IF($J44=0,"none in the current data",IFERROR(INDEX(Matters!$A$6:$A$604,MATCH($I44,Matters!$S$6:$S$604,0))&amp;"  "&amp;INDEX(Matters!$B$6:$B$604,MATCH($I44,Matters!$S$6:$S$604,0)),"none in the current data")))</f>
        <v/>
      </c>
    </row>
    <row r="45" customFormat="false" ht="15" hidden="false" customHeight="true" outlineLevel="0" collapsed="false">
      <c r="A45" s="67"/>
      <c r="B45" s="67"/>
      <c r="C45" s="67"/>
      <c r="D45" s="67"/>
      <c r="E45" s="67"/>
      <c r="F45" s="70"/>
      <c r="G45" s="70"/>
      <c r="H45" s="67"/>
      <c r="I45" s="66" t="str">
        <f aca="false">IF($B45="","",$B45&amp;" | "&amp;$C45)</f>
        <v/>
      </c>
      <c r="J45" s="66" t="str">
        <f aca="false">IF($A45="","",COUNTIFS(Matters!$C$6:$C$604,$B45,Matters!$D$6:$D$604,$C45))</f>
        <v/>
      </c>
      <c r="K45" s="66" t="str">
        <f aca="false">IF($A45="","",IF($J45=0,"none in the current data",IFERROR(INDEX(Matters!$A$6:$A$604,MATCH($I45,Matters!$S$6:$S$604,0))&amp;"  "&amp;INDEX(Matters!$B$6:$B$604,MATCH($I45,Matters!$S$6:$S$604,0)),"none in the current data")))</f>
        <v/>
      </c>
    </row>
    <row r="46" customFormat="false" ht="15" hidden="false" customHeight="true" outlineLevel="0" collapsed="false">
      <c r="A46" s="63"/>
      <c r="B46" s="63"/>
      <c r="C46" s="63"/>
      <c r="D46" s="63"/>
      <c r="E46" s="63"/>
      <c r="F46" s="69"/>
      <c r="G46" s="69"/>
      <c r="H46" s="63"/>
      <c r="I46" s="66" t="str">
        <f aca="false">IF($B46="","",$B46&amp;" | "&amp;$C46)</f>
        <v/>
      </c>
      <c r="J46" s="66" t="str">
        <f aca="false">IF($A46="","",COUNTIFS(Matters!$C$6:$C$604,$B46,Matters!$D$6:$D$604,$C46))</f>
        <v/>
      </c>
      <c r="K46" s="66" t="str">
        <f aca="false">IF($A46="","",IF($J46=0,"none in the current data",IFERROR(INDEX(Matters!$A$6:$A$604,MATCH($I46,Matters!$S$6:$S$604,0))&amp;"  "&amp;INDEX(Matters!$B$6:$B$604,MATCH($I46,Matters!$S$6:$S$604,0)),"none in the current data")))</f>
        <v/>
      </c>
    </row>
    <row r="47" customFormat="false" ht="15" hidden="false" customHeight="true" outlineLevel="0" collapsed="false">
      <c r="A47" s="67"/>
      <c r="B47" s="67"/>
      <c r="C47" s="67"/>
      <c r="D47" s="67"/>
      <c r="E47" s="67"/>
      <c r="F47" s="70"/>
      <c r="G47" s="70"/>
      <c r="H47" s="67"/>
      <c r="I47" s="66" t="str">
        <f aca="false">IF($B47="","",$B47&amp;" | "&amp;$C47)</f>
        <v/>
      </c>
      <c r="J47" s="66" t="str">
        <f aca="false">IF($A47="","",COUNTIFS(Matters!$C$6:$C$604,$B47,Matters!$D$6:$D$604,$C47))</f>
        <v/>
      </c>
      <c r="K47" s="66" t="str">
        <f aca="false">IF($A47="","",IF($J47=0,"none in the current data",IFERROR(INDEX(Matters!$A$6:$A$604,MATCH($I47,Matters!$S$6:$S$604,0))&amp;"  "&amp;INDEX(Matters!$B$6:$B$604,MATCH($I47,Matters!$S$6:$S$604,0)),"none in the current data")))</f>
        <v/>
      </c>
    </row>
    <row r="48" customFormat="false" ht="15" hidden="false" customHeight="true" outlineLevel="0" collapsed="false">
      <c r="A48" s="63"/>
      <c r="B48" s="63"/>
      <c r="C48" s="63"/>
      <c r="D48" s="63"/>
      <c r="E48" s="63"/>
      <c r="F48" s="69"/>
      <c r="G48" s="69"/>
      <c r="H48" s="63"/>
      <c r="I48" s="66" t="str">
        <f aca="false">IF($B48="","",$B48&amp;" | "&amp;$C48)</f>
        <v/>
      </c>
      <c r="J48" s="66" t="str">
        <f aca="false">IF($A48="","",COUNTIFS(Matters!$C$6:$C$604,$B48,Matters!$D$6:$D$604,$C48))</f>
        <v/>
      </c>
      <c r="K48" s="66" t="str">
        <f aca="false">IF($A48="","",IF($J48=0,"none in the current data",IFERROR(INDEX(Matters!$A$6:$A$604,MATCH($I48,Matters!$S$6:$S$604,0))&amp;"  "&amp;INDEX(Matters!$B$6:$B$604,MATCH($I48,Matters!$S$6:$S$604,0)),"none in the current data")))</f>
        <v/>
      </c>
    </row>
    <row r="49" customFormat="false" ht="15" hidden="false" customHeight="true" outlineLevel="0" collapsed="false">
      <c r="A49" s="67"/>
      <c r="B49" s="67"/>
      <c r="C49" s="67"/>
      <c r="D49" s="67"/>
      <c r="E49" s="67"/>
      <c r="F49" s="70"/>
      <c r="G49" s="70"/>
      <c r="H49" s="67"/>
      <c r="I49" s="66" t="str">
        <f aca="false">IF($B49="","",$B49&amp;" | "&amp;$C49)</f>
        <v/>
      </c>
      <c r="J49" s="66" t="str">
        <f aca="false">IF($A49="","",COUNTIFS(Matters!$C$6:$C$604,$B49,Matters!$D$6:$D$604,$C49))</f>
        <v/>
      </c>
      <c r="K49" s="66" t="str">
        <f aca="false">IF($A49="","",IF($J49=0,"none in the current data",IFERROR(INDEX(Matters!$A$6:$A$604,MATCH($I49,Matters!$S$6:$S$604,0))&amp;"  "&amp;INDEX(Matters!$B$6:$B$604,MATCH($I49,Matters!$S$6:$S$604,0)),"none in the current data")))</f>
        <v/>
      </c>
    </row>
    <row r="50" customFormat="false" ht="15" hidden="false" customHeight="true" outlineLevel="0" collapsed="false">
      <c r="A50" s="63"/>
      <c r="B50" s="63"/>
      <c r="C50" s="63"/>
      <c r="D50" s="63"/>
      <c r="E50" s="63"/>
      <c r="F50" s="69"/>
      <c r="G50" s="69"/>
      <c r="H50" s="63"/>
      <c r="I50" s="66" t="str">
        <f aca="false">IF($B50="","",$B50&amp;" | "&amp;$C50)</f>
        <v/>
      </c>
      <c r="J50" s="66" t="str">
        <f aca="false">IF($A50="","",COUNTIFS(Matters!$C$6:$C$604,$B50,Matters!$D$6:$D$604,$C50))</f>
        <v/>
      </c>
      <c r="K50" s="66" t="str">
        <f aca="false">IF($A50="","",IF($J50=0,"none in the current data",IFERROR(INDEX(Matters!$A$6:$A$604,MATCH($I50,Matters!$S$6:$S$604,0))&amp;"  "&amp;INDEX(Matters!$B$6:$B$604,MATCH($I50,Matters!$S$6:$S$604,0)),"none in the current data")))</f>
        <v/>
      </c>
    </row>
    <row r="51" customFormat="false" ht="15" hidden="false" customHeight="true" outlineLevel="0" collapsed="false">
      <c r="A51" s="67"/>
      <c r="B51" s="67"/>
      <c r="C51" s="67"/>
      <c r="D51" s="67"/>
      <c r="E51" s="67"/>
      <c r="F51" s="70"/>
      <c r="G51" s="70"/>
      <c r="H51" s="67"/>
      <c r="I51" s="66" t="str">
        <f aca="false">IF($B51="","",$B51&amp;" | "&amp;$C51)</f>
        <v/>
      </c>
      <c r="J51" s="66" t="str">
        <f aca="false">IF($A51="","",COUNTIFS(Matters!$C$6:$C$604,$B51,Matters!$D$6:$D$604,$C51))</f>
        <v/>
      </c>
      <c r="K51" s="66" t="str">
        <f aca="false">IF($A51="","",IF($J51=0,"none in the current data",IFERROR(INDEX(Matters!$A$6:$A$604,MATCH($I51,Matters!$S$6:$S$604,0))&amp;"  "&amp;INDEX(Matters!$B$6:$B$604,MATCH($I51,Matters!$S$6:$S$604,0)),"none in the current data")))</f>
        <v/>
      </c>
    </row>
    <row r="52" customFormat="false" ht="15" hidden="false" customHeight="true" outlineLevel="0" collapsed="false">
      <c r="A52" s="63"/>
      <c r="B52" s="63"/>
      <c r="C52" s="63"/>
      <c r="D52" s="63"/>
      <c r="E52" s="63"/>
      <c r="F52" s="69"/>
      <c r="G52" s="69"/>
      <c r="H52" s="63"/>
      <c r="I52" s="66" t="str">
        <f aca="false">IF($B52="","",$B52&amp;" | "&amp;$C52)</f>
        <v/>
      </c>
      <c r="J52" s="66" t="str">
        <f aca="false">IF($A52="","",COUNTIFS(Matters!$C$6:$C$604,$B52,Matters!$D$6:$D$604,$C52))</f>
        <v/>
      </c>
      <c r="K52" s="66" t="str">
        <f aca="false">IF($A52="","",IF($J52=0,"none in the current data",IFERROR(INDEX(Matters!$A$6:$A$604,MATCH($I52,Matters!$S$6:$S$604,0))&amp;"  "&amp;INDEX(Matters!$B$6:$B$604,MATCH($I52,Matters!$S$6:$S$604,0)),"none in the current data")))</f>
        <v/>
      </c>
    </row>
    <row r="53" customFormat="false" ht="15" hidden="false" customHeight="true" outlineLevel="0" collapsed="false">
      <c r="A53" s="67"/>
      <c r="B53" s="67"/>
      <c r="C53" s="67"/>
      <c r="D53" s="67"/>
      <c r="E53" s="67"/>
      <c r="F53" s="70"/>
      <c r="G53" s="70"/>
      <c r="H53" s="67"/>
      <c r="I53" s="66" t="str">
        <f aca="false">IF($B53="","",$B53&amp;" | "&amp;$C53)</f>
        <v/>
      </c>
      <c r="J53" s="66" t="str">
        <f aca="false">IF($A53="","",COUNTIFS(Matters!$C$6:$C$604,$B53,Matters!$D$6:$D$604,$C53))</f>
        <v/>
      </c>
      <c r="K53" s="66" t="str">
        <f aca="false">IF($A53="","",IF($J53=0,"none in the current data",IFERROR(INDEX(Matters!$A$6:$A$604,MATCH($I53,Matters!$S$6:$S$604,0))&amp;"  "&amp;INDEX(Matters!$B$6:$B$604,MATCH($I53,Matters!$S$6:$S$604,0)),"none in the current data")))</f>
        <v/>
      </c>
    </row>
    <row r="54" customFormat="false" ht="15" hidden="false" customHeight="true" outlineLevel="0" collapsed="false">
      <c r="A54" s="63"/>
      <c r="B54" s="63"/>
      <c r="C54" s="63"/>
      <c r="D54" s="63"/>
      <c r="E54" s="63"/>
      <c r="F54" s="69"/>
      <c r="G54" s="69"/>
      <c r="H54" s="63"/>
      <c r="I54" s="66" t="str">
        <f aca="false">IF($B54="","",$B54&amp;" | "&amp;$C54)</f>
        <v/>
      </c>
      <c r="J54" s="66" t="str">
        <f aca="false">IF($A54="","",COUNTIFS(Matters!$C$6:$C$604,$B54,Matters!$D$6:$D$604,$C54))</f>
        <v/>
      </c>
      <c r="K54" s="66" t="str">
        <f aca="false">IF($A54="","",IF($J54=0,"none in the current data",IFERROR(INDEX(Matters!$A$6:$A$604,MATCH($I54,Matters!$S$6:$S$604,0))&amp;"  "&amp;INDEX(Matters!$B$6:$B$604,MATCH($I54,Matters!$S$6:$S$604,0)),"none in the current data")))</f>
        <v/>
      </c>
    </row>
    <row r="55" customFormat="false" ht="15" hidden="false" customHeight="true" outlineLevel="0" collapsed="false">
      <c r="A55" s="67"/>
      <c r="B55" s="67"/>
      <c r="C55" s="67"/>
      <c r="D55" s="67"/>
      <c r="E55" s="67"/>
      <c r="F55" s="70"/>
      <c r="G55" s="70"/>
      <c r="H55" s="67"/>
      <c r="I55" s="66" t="str">
        <f aca="false">IF($B55="","",$B55&amp;" | "&amp;$C55)</f>
        <v/>
      </c>
      <c r="J55" s="66" t="str">
        <f aca="false">IF($A55="","",COUNTIFS(Matters!$C$6:$C$604,$B55,Matters!$D$6:$D$604,$C55))</f>
        <v/>
      </c>
      <c r="K55" s="66" t="str">
        <f aca="false">IF($A55="","",IF($J55=0,"none in the current data",IFERROR(INDEX(Matters!$A$6:$A$604,MATCH($I55,Matters!$S$6:$S$604,0))&amp;"  "&amp;INDEX(Matters!$B$6:$B$604,MATCH($I55,Matters!$S$6:$S$604,0)),"none in the current data")))</f>
        <v/>
      </c>
    </row>
    <row r="56" customFormat="false" ht="15" hidden="false" customHeight="true" outlineLevel="0" collapsed="false">
      <c r="A56" s="63"/>
      <c r="B56" s="63"/>
      <c r="C56" s="63"/>
      <c r="D56" s="63"/>
      <c r="E56" s="63"/>
      <c r="F56" s="69"/>
      <c r="G56" s="69"/>
      <c r="H56" s="63"/>
      <c r="I56" s="66" t="str">
        <f aca="false">IF($B56="","",$B56&amp;" | "&amp;$C56)</f>
        <v/>
      </c>
      <c r="J56" s="66" t="str">
        <f aca="false">IF($A56="","",COUNTIFS(Matters!$C$6:$C$604,$B56,Matters!$D$6:$D$604,$C56))</f>
        <v/>
      </c>
      <c r="K56" s="66" t="str">
        <f aca="false">IF($A56="","",IF($J56=0,"none in the current data",IFERROR(INDEX(Matters!$A$6:$A$604,MATCH($I56,Matters!$S$6:$S$604,0))&amp;"  "&amp;INDEX(Matters!$B$6:$B$604,MATCH($I56,Matters!$S$6:$S$604,0)),"none in the current data")))</f>
        <v/>
      </c>
    </row>
    <row r="57" customFormat="false" ht="15" hidden="false" customHeight="true" outlineLevel="0" collapsed="false">
      <c r="A57" s="67"/>
      <c r="B57" s="67"/>
      <c r="C57" s="67"/>
      <c r="D57" s="67"/>
      <c r="E57" s="67"/>
      <c r="F57" s="70"/>
      <c r="G57" s="70"/>
      <c r="H57" s="67"/>
      <c r="I57" s="66" t="str">
        <f aca="false">IF($B57="","",$B57&amp;" | "&amp;$C57)</f>
        <v/>
      </c>
      <c r="J57" s="66" t="str">
        <f aca="false">IF($A57="","",COUNTIFS(Matters!$C$6:$C$604,$B57,Matters!$D$6:$D$604,$C57))</f>
        <v/>
      </c>
      <c r="K57" s="66" t="str">
        <f aca="false">IF($A57="","",IF($J57=0,"none in the current data",IFERROR(INDEX(Matters!$A$6:$A$604,MATCH($I57,Matters!$S$6:$S$604,0))&amp;"  "&amp;INDEX(Matters!$B$6:$B$604,MATCH($I57,Matters!$S$6:$S$604,0)),"none in the current data")))</f>
        <v/>
      </c>
    </row>
    <row r="58" customFormat="false" ht="15" hidden="false" customHeight="true" outlineLevel="0" collapsed="false">
      <c r="A58" s="63"/>
      <c r="B58" s="63"/>
      <c r="C58" s="63"/>
      <c r="D58" s="63"/>
      <c r="E58" s="63"/>
      <c r="F58" s="69"/>
      <c r="G58" s="69"/>
      <c r="H58" s="63"/>
      <c r="I58" s="66" t="str">
        <f aca="false">IF($B58="","",$B58&amp;" | "&amp;$C58)</f>
        <v/>
      </c>
      <c r="J58" s="66" t="str">
        <f aca="false">IF($A58="","",COUNTIFS(Matters!$C$6:$C$604,$B58,Matters!$D$6:$D$604,$C58))</f>
        <v/>
      </c>
      <c r="K58" s="66" t="str">
        <f aca="false">IF($A58="","",IF($J58=0,"none in the current data",IFERROR(INDEX(Matters!$A$6:$A$604,MATCH($I58,Matters!$S$6:$S$604,0))&amp;"  "&amp;INDEX(Matters!$B$6:$B$604,MATCH($I58,Matters!$S$6:$S$604,0)),"none in the current data")))</f>
        <v/>
      </c>
    </row>
    <row r="59" customFormat="false" ht="15" hidden="false" customHeight="true" outlineLevel="0" collapsed="false">
      <c r="A59" s="67"/>
      <c r="B59" s="67"/>
      <c r="C59" s="67"/>
      <c r="D59" s="67"/>
      <c r="E59" s="67"/>
      <c r="F59" s="70"/>
      <c r="G59" s="70"/>
      <c r="H59" s="67"/>
      <c r="I59" s="66" t="str">
        <f aca="false">IF($B59="","",$B59&amp;" | "&amp;$C59)</f>
        <v/>
      </c>
      <c r="J59" s="66" t="str">
        <f aca="false">IF($A59="","",COUNTIFS(Matters!$C$6:$C$604,$B59,Matters!$D$6:$D$604,$C59))</f>
        <v/>
      </c>
      <c r="K59" s="66" t="str">
        <f aca="false">IF($A59="","",IF($J59=0,"none in the current data",IFERROR(INDEX(Matters!$A$6:$A$604,MATCH($I59,Matters!$S$6:$S$604,0))&amp;"  "&amp;INDEX(Matters!$B$6:$B$604,MATCH($I59,Matters!$S$6:$S$604,0)),"none in the current data")))</f>
        <v/>
      </c>
    </row>
    <row r="60" customFormat="false" ht="15" hidden="false" customHeight="true" outlineLevel="0" collapsed="false">
      <c r="A60" s="63"/>
      <c r="B60" s="63"/>
      <c r="C60" s="63"/>
      <c r="D60" s="63"/>
      <c r="E60" s="63"/>
      <c r="F60" s="69"/>
      <c r="G60" s="69"/>
      <c r="H60" s="63"/>
      <c r="I60" s="66" t="str">
        <f aca="false">IF($B60="","",$B60&amp;" | "&amp;$C60)</f>
        <v/>
      </c>
      <c r="J60" s="66" t="str">
        <f aca="false">IF($A60="","",COUNTIFS(Matters!$C$6:$C$604,$B60,Matters!$D$6:$D$604,$C60))</f>
        <v/>
      </c>
      <c r="K60" s="66" t="str">
        <f aca="false">IF($A60="","",IF($J60=0,"none in the current data",IFERROR(INDEX(Matters!$A$6:$A$604,MATCH($I60,Matters!$S$6:$S$604,0))&amp;"  "&amp;INDEX(Matters!$B$6:$B$604,MATCH($I60,Matters!$S$6:$S$604,0)),"none in the current data")))</f>
        <v/>
      </c>
    </row>
    <row r="61" customFormat="false" ht="15" hidden="false" customHeight="true" outlineLevel="0" collapsed="false">
      <c r="A61" s="67"/>
      <c r="B61" s="67"/>
      <c r="C61" s="67"/>
      <c r="D61" s="67"/>
      <c r="E61" s="67"/>
      <c r="F61" s="70"/>
      <c r="G61" s="70"/>
      <c r="H61" s="67"/>
      <c r="I61" s="66" t="str">
        <f aca="false">IF($B61="","",$B61&amp;" | "&amp;$C61)</f>
        <v/>
      </c>
      <c r="J61" s="66" t="str">
        <f aca="false">IF($A61="","",COUNTIFS(Matters!$C$6:$C$604,$B61,Matters!$D$6:$D$604,$C61))</f>
        <v/>
      </c>
      <c r="K61" s="66" t="str">
        <f aca="false">IF($A61="","",IF($J61=0,"none in the current data",IFERROR(INDEX(Matters!$A$6:$A$604,MATCH($I61,Matters!$S$6:$S$604,0))&amp;"  "&amp;INDEX(Matters!$B$6:$B$604,MATCH($I61,Matters!$S$6:$S$604,0)),"none in the current data")))</f>
        <v/>
      </c>
    </row>
    <row r="62" customFormat="false" ht="15" hidden="false" customHeight="true" outlineLevel="0" collapsed="false">
      <c r="A62" s="63"/>
      <c r="B62" s="63"/>
      <c r="C62" s="63"/>
      <c r="D62" s="63"/>
      <c r="E62" s="63"/>
      <c r="F62" s="69"/>
      <c r="G62" s="69"/>
      <c r="H62" s="63"/>
      <c r="I62" s="66" t="str">
        <f aca="false">IF($B62="","",$B62&amp;" | "&amp;$C62)</f>
        <v/>
      </c>
      <c r="J62" s="66" t="str">
        <f aca="false">IF($A62="","",COUNTIFS(Matters!$C$6:$C$604,$B62,Matters!$D$6:$D$604,$C62))</f>
        <v/>
      </c>
      <c r="K62" s="66" t="str">
        <f aca="false">IF($A62="","",IF($J62=0,"none in the current data",IFERROR(INDEX(Matters!$A$6:$A$604,MATCH($I62,Matters!$S$6:$S$604,0))&amp;"  "&amp;INDEX(Matters!$B$6:$B$604,MATCH($I62,Matters!$S$6:$S$604,0)),"none in the current data")))</f>
        <v/>
      </c>
    </row>
    <row r="63" customFormat="false" ht="15" hidden="false" customHeight="true" outlineLevel="0" collapsed="false">
      <c r="A63" s="67"/>
      <c r="B63" s="67"/>
      <c r="C63" s="67"/>
      <c r="D63" s="67"/>
      <c r="E63" s="67"/>
      <c r="F63" s="70"/>
      <c r="G63" s="70"/>
      <c r="H63" s="67"/>
      <c r="I63" s="66" t="str">
        <f aca="false">IF($B63="","",$B63&amp;" | "&amp;$C63)</f>
        <v/>
      </c>
      <c r="J63" s="66" t="str">
        <f aca="false">IF($A63="","",COUNTIFS(Matters!$C$6:$C$604,$B63,Matters!$D$6:$D$604,$C63))</f>
        <v/>
      </c>
      <c r="K63" s="66" t="str">
        <f aca="false">IF($A63="","",IF($J63=0,"none in the current data",IFERROR(INDEX(Matters!$A$6:$A$604,MATCH($I63,Matters!$S$6:$S$604,0))&amp;"  "&amp;INDEX(Matters!$B$6:$B$604,MATCH($I63,Matters!$S$6:$S$604,0)),"none in the current data")))</f>
        <v/>
      </c>
    </row>
    <row r="64" customFormat="false" ht="15" hidden="false" customHeight="true" outlineLevel="0" collapsed="false">
      <c r="A64" s="63"/>
      <c r="B64" s="63"/>
      <c r="C64" s="63"/>
      <c r="D64" s="63"/>
      <c r="E64" s="63"/>
      <c r="F64" s="69"/>
      <c r="G64" s="69"/>
      <c r="H64" s="63"/>
      <c r="I64" s="66" t="str">
        <f aca="false">IF($B64="","",$B64&amp;" | "&amp;$C64)</f>
        <v/>
      </c>
      <c r="J64" s="66" t="str">
        <f aca="false">IF($A64="","",COUNTIFS(Matters!$C$6:$C$604,$B64,Matters!$D$6:$D$604,$C64))</f>
        <v/>
      </c>
      <c r="K64" s="66" t="str">
        <f aca="false">IF($A64="","",IF($J64=0,"none in the current data",IFERROR(INDEX(Matters!$A$6:$A$604,MATCH($I64,Matters!$S$6:$S$604,0))&amp;"  "&amp;INDEX(Matters!$B$6:$B$604,MATCH($I64,Matters!$S$6:$S$604,0)),"none in the current data")))</f>
        <v/>
      </c>
    </row>
  </sheetData>
  <conditionalFormatting sqref="D6:D64">
    <cfRule type="cellIs" priority="2" operator="equal" aboveAverage="0" equalAverage="0" bottom="0" percent="0" rank="0" text="" dxfId="9">
      <formula>"Dormant"</formula>
    </cfRule>
  </conditionalFormatting>
  <conditionalFormatting sqref="J6:J64">
    <cfRule type="cellIs" priority="3" operator="equal" aboveAverage="0" equalAverage="0" bottom="0" percent="0" rank="0" text="" dxfId="6">
      <formula>0</formula>
    </cfRule>
  </conditionalFormatting>
  <dataValidations count="1">
    <dataValidation allowBlank="true" errorStyle="stop" operator="between" showDropDown="false" showErrorMessage="false" showInputMessage="false" sqref="D6:D64" type="list">
      <formula1>"Intake,Active,Waiting,Dormant,Closed"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B5563"/>
    <pageSetUpPr fitToPage="true"/>
  </sheetPr>
  <dimension ref="A1:I1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1"/>
    <col collapsed="false" customWidth="true" hidden="false" outlineLevel="0" max="2" min="2" style="1" width="12"/>
    <col collapsed="false" customWidth="true" hidden="false" outlineLevel="0" max="3" min="3" style="1" width="26"/>
    <col collapsed="false" customWidth="true" hidden="false" outlineLevel="0" max="4" min="4" style="1" width="13"/>
    <col collapsed="false" customWidth="true" hidden="false" outlineLevel="0" max="5" min="5" style="1" width="19"/>
    <col collapsed="false" customWidth="true" hidden="false" outlineLevel="0" max="6" min="6" style="1" width="13"/>
    <col collapsed="false" customWidth="true" hidden="false" outlineLevel="0" max="7" min="7" style="1" width="26"/>
    <col collapsed="false" customWidth="true" hidden="false" outlineLevel="0" max="8" min="8" style="1" width="12"/>
    <col collapsed="false" customWidth="true" hidden="false" outlineLevel="0" max="9" min="9" style="1" width="11"/>
  </cols>
  <sheetData>
    <row r="1" customFormat="false" ht="21.75" hidden="false" customHeight="true" outlineLevel="0" collapsed="false">
      <c r="A1" s="31" t="s">
        <v>38</v>
      </c>
    </row>
    <row r="2" customFormat="false" ht="15" hidden="false" customHeight="true" outlineLevel="0" collapsed="false">
      <c r="A2" s="32" t="s">
        <v>1219</v>
      </c>
    </row>
    <row r="3" customFormat="false" ht="15" hidden="false" customHeight="true" outlineLevel="0" collapsed="false">
      <c r="A3" s="60" t="s">
        <v>1220</v>
      </c>
    </row>
    <row r="4" customFormat="false" ht="15" hidden="false" customHeight="true" outlineLevel="0" collapsed="false">
      <c r="A4" s="30" t="s">
        <v>161</v>
      </c>
      <c r="H4" s="61" t="s">
        <v>162</v>
      </c>
    </row>
    <row r="5" customFormat="false" ht="30" hidden="false" customHeight="true" outlineLevel="0" collapsed="false">
      <c r="A5" s="8" t="s">
        <v>1221</v>
      </c>
      <c r="B5" s="8" t="s">
        <v>425</v>
      </c>
      <c r="C5" s="8" t="s">
        <v>1222</v>
      </c>
      <c r="D5" s="8" t="s">
        <v>1223</v>
      </c>
      <c r="E5" s="8" t="s">
        <v>434</v>
      </c>
      <c r="F5" s="8" t="s">
        <v>1224</v>
      </c>
      <c r="G5" s="8" t="s">
        <v>1225</v>
      </c>
      <c r="H5" s="50" t="s">
        <v>1226</v>
      </c>
      <c r="I5" s="50" t="s">
        <v>1227</v>
      </c>
    </row>
    <row r="6" customFormat="false" ht="15" hidden="false" customHeight="true" outlineLevel="0" collapsed="false">
      <c r="A6" s="63" t="s">
        <v>1228</v>
      </c>
      <c r="B6" s="63" t="s">
        <v>1022</v>
      </c>
      <c r="C6" s="63" t="s">
        <v>1229</v>
      </c>
      <c r="D6" s="69" t="n">
        <v>46275</v>
      </c>
      <c r="E6" s="63" t="s">
        <v>450</v>
      </c>
      <c r="F6" s="63" t="s">
        <v>1230</v>
      </c>
      <c r="G6" s="63" t="s">
        <v>1231</v>
      </c>
      <c r="H6" s="66" t="n">
        <f aca="false">IF($D6="","",$D6-Targets!$C$8)</f>
        <v>10</v>
      </c>
      <c r="I6" s="66" t="str">
        <f aca="false">IF($A6="","",IF($E6="","No","Yes"))</f>
        <v>Yes</v>
      </c>
    </row>
    <row r="7" customFormat="false" ht="15" hidden="false" customHeight="true" outlineLevel="0" collapsed="false">
      <c r="A7" s="67" t="s">
        <v>1232</v>
      </c>
      <c r="B7" s="67" t="s">
        <v>1009</v>
      </c>
      <c r="C7" s="67" t="s">
        <v>1233</v>
      </c>
      <c r="D7" s="70" t="n">
        <v>46278</v>
      </c>
      <c r="E7" s="67" t="s">
        <v>456</v>
      </c>
      <c r="F7" s="67" t="s">
        <v>1234</v>
      </c>
      <c r="G7" s="67" t="s">
        <v>1235</v>
      </c>
      <c r="H7" s="66" t="n">
        <f aca="false">IF($D7="","",$D7-Targets!$C$8)</f>
        <v>13</v>
      </c>
      <c r="I7" s="66" t="str">
        <f aca="false">IF($A7="","",IF($E7="","No","Yes"))</f>
        <v>Yes</v>
      </c>
    </row>
    <row r="8" customFormat="false" ht="15" hidden="false" customHeight="true" outlineLevel="0" collapsed="false">
      <c r="A8" s="63" t="s">
        <v>1236</v>
      </c>
      <c r="B8" s="63" t="s">
        <v>772</v>
      </c>
      <c r="C8" s="63" t="s">
        <v>1237</v>
      </c>
      <c r="D8" s="69" t="n">
        <v>46278</v>
      </c>
      <c r="E8" s="63" t="s">
        <v>470</v>
      </c>
      <c r="F8" s="63" t="s">
        <v>1230</v>
      </c>
      <c r="G8" s="63" t="s">
        <v>1235</v>
      </c>
      <c r="H8" s="66" t="n">
        <f aca="false">IF($D8="","",$D8-Targets!$C$8)</f>
        <v>13</v>
      </c>
      <c r="I8" s="66" t="str">
        <f aca="false">IF($A8="","",IF($E8="","No","Yes"))</f>
        <v>Yes</v>
      </c>
    </row>
    <row r="9" customFormat="false" ht="15" hidden="false" customHeight="true" outlineLevel="0" collapsed="false">
      <c r="A9" s="67" t="s">
        <v>1238</v>
      </c>
      <c r="B9" s="67" t="s">
        <v>546</v>
      </c>
      <c r="C9" s="67" t="s">
        <v>1233</v>
      </c>
      <c r="D9" s="70" t="n">
        <v>46279</v>
      </c>
      <c r="E9" s="67" t="s">
        <v>474</v>
      </c>
      <c r="F9" s="67" t="s">
        <v>1234</v>
      </c>
      <c r="G9" s="67" t="s">
        <v>1235</v>
      </c>
      <c r="H9" s="66" t="n">
        <f aca="false">IF($D9="","",$D9-Targets!$C$8)</f>
        <v>14</v>
      </c>
      <c r="I9" s="66" t="str">
        <f aca="false">IF($A9="","",IF($E9="","No","Yes"))</f>
        <v>Yes</v>
      </c>
    </row>
    <row r="10" customFormat="false" ht="15" hidden="false" customHeight="true" outlineLevel="0" collapsed="false">
      <c r="A10" s="63" t="s">
        <v>1239</v>
      </c>
      <c r="B10" s="63" t="s">
        <v>813</v>
      </c>
      <c r="C10" s="63" t="s">
        <v>1233</v>
      </c>
      <c r="D10" s="69" t="n">
        <v>46294</v>
      </c>
      <c r="E10" s="63" t="s">
        <v>456</v>
      </c>
      <c r="F10" s="63" t="s">
        <v>1230</v>
      </c>
      <c r="G10" s="63" t="s">
        <v>1235</v>
      </c>
      <c r="H10" s="66" t="n">
        <f aca="false">IF($D10="","",$D10-Targets!$C$8)</f>
        <v>29</v>
      </c>
      <c r="I10" s="66" t="str">
        <f aca="false">IF($A10="","",IF($E10="","No","Yes"))</f>
        <v>Yes</v>
      </c>
    </row>
    <row r="11" customFormat="false" ht="15" hidden="false" customHeight="true" outlineLevel="0" collapsed="false">
      <c r="A11" s="67" t="s">
        <v>1240</v>
      </c>
      <c r="B11" s="67" t="s">
        <v>347</v>
      </c>
      <c r="C11" s="67" t="s">
        <v>1241</v>
      </c>
      <c r="D11" s="70" t="n">
        <v>46312</v>
      </c>
      <c r="E11" s="67" t="s">
        <v>474</v>
      </c>
      <c r="F11" s="67" t="s">
        <v>1230</v>
      </c>
      <c r="G11" s="67" t="s">
        <v>1231</v>
      </c>
      <c r="H11" s="66" t="n">
        <f aca="false">IF($D11="","",$D11-Targets!$C$8)</f>
        <v>47</v>
      </c>
      <c r="I11" s="66" t="str">
        <f aca="false">IF($A11="","",IF($E11="","No","Yes"))</f>
        <v>Yes</v>
      </c>
    </row>
    <row r="12" customFormat="false" ht="15" hidden="false" customHeight="true" outlineLevel="0" collapsed="false">
      <c r="A12" s="63" t="s">
        <v>1242</v>
      </c>
      <c r="B12" s="63" t="s">
        <v>769</v>
      </c>
      <c r="C12" s="63" t="s">
        <v>1243</v>
      </c>
      <c r="D12" s="69" t="n">
        <v>46313</v>
      </c>
      <c r="E12" s="63" t="s">
        <v>450</v>
      </c>
      <c r="F12" s="63" t="s">
        <v>1230</v>
      </c>
      <c r="G12" s="63" t="s">
        <v>1235</v>
      </c>
      <c r="H12" s="66" t="n">
        <f aca="false">IF($D12="","",$D12-Targets!$C$8)</f>
        <v>48</v>
      </c>
      <c r="I12" s="66" t="str">
        <f aca="false">IF($A12="","",IF($E12="","No","Yes"))</f>
        <v>Yes</v>
      </c>
    </row>
    <row r="13" customFormat="false" ht="15" hidden="false" customHeight="true" outlineLevel="0" collapsed="false">
      <c r="A13" s="67" t="s">
        <v>1244</v>
      </c>
      <c r="B13" s="67" t="s">
        <v>1039</v>
      </c>
      <c r="C13" s="67" t="s">
        <v>1233</v>
      </c>
      <c r="D13" s="70" t="n">
        <v>46316</v>
      </c>
      <c r="E13" s="67" t="s">
        <v>449</v>
      </c>
      <c r="F13" s="67" t="s">
        <v>1230</v>
      </c>
      <c r="G13" s="67" t="s">
        <v>1235</v>
      </c>
      <c r="H13" s="66" t="n">
        <f aca="false">IF($D13="","",$D13-Targets!$C$8)</f>
        <v>51</v>
      </c>
      <c r="I13" s="66" t="str">
        <f aca="false">IF($A13="","",IF($E13="","No","Yes"))</f>
        <v>Yes</v>
      </c>
    </row>
    <row r="14" customFormat="false" ht="15" hidden="false" customHeight="true" outlineLevel="0" collapsed="false">
      <c r="A14" s="63" t="s">
        <v>1245</v>
      </c>
      <c r="B14" s="63" t="s">
        <v>333</v>
      </c>
      <c r="C14" s="63" t="s">
        <v>1229</v>
      </c>
      <c r="D14" s="69" t="n">
        <v>46316</v>
      </c>
      <c r="E14" s="63" t="s">
        <v>474</v>
      </c>
      <c r="F14" s="63" t="s">
        <v>1230</v>
      </c>
      <c r="G14" s="63" t="s">
        <v>1231</v>
      </c>
      <c r="H14" s="66" t="n">
        <f aca="false">IF($D14="","",$D14-Targets!$C$8)</f>
        <v>51</v>
      </c>
      <c r="I14" s="66" t="str">
        <f aca="false">IF($A14="","",IF($E14="","No","Yes"))</f>
        <v>Yes</v>
      </c>
    </row>
    <row r="15" customFormat="false" ht="15" hidden="false" customHeight="true" outlineLevel="0" collapsed="false">
      <c r="A15" s="67" t="s">
        <v>1246</v>
      </c>
      <c r="B15" s="67" t="s">
        <v>377</v>
      </c>
      <c r="C15" s="67" t="s">
        <v>1241</v>
      </c>
      <c r="D15" s="70" t="n">
        <v>46319</v>
      </c>
      <c r="E15" s="67" t="s">
        <v>492</v>
      </c>
      <c r="F15" s="67" t="s">
        <v>1230</v>
      </c>
      <c r="G15" s="67" t="s">
        <v>1231</v>
      </c>
      <c r="H15" s="66" t="n">
        <f aca="false">IF($D15="","",$D15-Targets!$C$8)</f>
        <v>54</v>
      </c>
      <c r="I15" s="66" t="str">
        <f aca="false">IF($A15="","",IF($E15="","No","Yes"))</f>
        <v>Yes</v>
      </c>
    </row>
    <row r="16" customFormat="false" ht="15" hidden="false" customHeight="true" outlineLevel="0" collapsed="false">
      <c r="A16" s="63" t="s">
        <v>1247</v>
      </c>
      <c r="B16" s="63" t="s">
        <v>857</v>
      </c>
      <c r="C16" s="63" t="s">
        <v>1248</v>
      </c>
      <c r="D16" s="69" t="n">
        <v>46331</v>
      </c>
      <c r="E16" s="63" t="s">
        <v>474</v>
      </c>
      <c r="F16" s="63" t="s">
        <v>1230</v>
      </c>
      <c r="G16" s="63" t="s">
        <v>1249</v>
      </c>
      <c r="H16" s="66" t="n">
        <f aca="false">IF($D16="","",$D16-Targets!$C$8)</f>
        <v>66</v>
      </c>
      <c r="I16" s="66" t="str">
        <f aca="false">IF($A16="","",IF($E16="","No","Yes"))</f>
        <v>Yes</v>
      </c>
    </row>
    <row r="17" customFormat="false" ht="15" hidden="false" customHeight="true" outlineLevel="0" collapsed="false">
      <c r="A17" s="67" t="s">
        <v>1250</v>
      </c>
      <c r="B17" s="67" t="s">
        <v>958</v>
      </c>
      <c r="C17" s="67" t="s">
        <v>1251</v>
      </c>
      <c r="D17" s="70" t="n">
        <v>46333</v>
      </c>
      <c r="E17" s="67" t="s">
        <v>474</v>
      </c>
      <c r="F17" s="67" t="s">
        <v>1230</v>
      </c>
      <c r="G17" s="67" t="s">
        <v>1252</v>
      </c>
      <c r="H17" s="66" t="n">
        <f aca="false">IF($D17="","",$D17-Targets!$C$8)</f>
        <v>68</v>
      </c>
      <c r="I17" s="66" t="str">
        <f aca="false">IF($A17="","",IF($E17="","No","Yes"))</f>
        <v>Yes</v>
      </c>
    </row>
    <row r="18" customFormat="false" ht="15" hidden="false" customHeight="true" outlineLevel="0" collapsed="false">
      <c r="A18" s="63" t="s">
        <v>1253</v>
      </c>
      <c r="B18" s="63" t="s">
        <v>744</v>
      </c>
      <c r="C18" s="63" t="s">
        <v>1241</v>
      </c>
      <c r="D18" s="69" t="n">
        <v>46338</v>
      </c>
      <c r="E18" s="63" t="s">
        <v>449</v>
      </c>
      <c r="F18" s="63" t="s">
        <v>1230</v>
      </c>
      <c r="G18" s="63" t="s">
        <v>1231</v>
      </c>
      <c r="H18" s="66" t="n">
        <f aca="false">IF($D18="","",$D18-Targets!$C$8)</f>
        <v>73</v>
      </c>
      <c r="I18" s="66" t="str">
        <f aca="false">IF($A18="","",IF($E18="","No","Yes"))</f>
        <v>Yes</v>
      </c>
    </row>
    <row r="19" customFormat="false" ht="15" hidden="false" customHeight="true" outlineLevel="0" collapsed="false">
      <c r="A19" s="67" t="s">
        <v>1254</v>
      </c>
      <c r="B19" s="67" t="s">
        <v>1094</v>
      </c>
      <c r="C19" s="67" t="s">
        <v>1251</v>
      </c>
      <c r="D19" s="70" t="n">
        <v>46346</v>
      </c>
      <c r="E19" s="67" t="s">
        <v>474</v>
      </c>
      <c r="F19" s="67" t="s">
        <v>1230</v>
      </c>
      <c r="G19" s="67" t="s">
        <v>1252</v>
      </c>
      <c r="H19" s="66" t="n">
        <f aca="false">IF($D19="","",$D19-Targets!$C$8)</f>
        <v>81</v>
      </c>
      <c r="I19" s="66" t="str">
        <f aca="false">IF($A19="","",IF($E19="","No","Yes"))</f>
        <v>Yes</v>
      </c>
    </row>
    <row r="20" customFormat="false" ht="15" hidden="false" customHeight="true" outlineLevel="0" collapsed="false">
      <c r="A20" s="63" t="s">
        <v>1255</v>
      </c>
      <c r="B20" s="63" t="s">
        <v>1057</v>
      </c>
      <c r="C20" s="63" t="s">
        <v>1256</v>
      </c>
      <c r="D20" s="69" t="n">
        <v>46349</v>
      </c>
      <c r="E20" s="63" t="s">
        <v>461</v>
      </c>
      <c r="F20" s="63" t="s">
        <v>1230</v>
      </c>
      <c r="G20" s="63" t="s">
        <v>1257</v>
      </c>
      <c r="H20" s="66" t="n">
        <f aca="false">IF($D20="","",$D20-Targets!$C$8)</f>
        <v>84</v>
      </c>
      <c r="I20" s="66" t="str">
        <f aca="false">IF($A20="","",IF($E20="","No","Yes"))</f>
        <v>Yes</v>
      </c>
    </row>
    <row r="21" customFormat="false" ht="15" hidden="false" customHeight="true" outlineLevel="0" collapsed="false">
      <c r="A21" s="67" t="s">
        <v>1258</v>
      </c>
      <c r="B21" s="67" t="s">
        <v>343</v>
      </c>
      <c r="C21" s="67" t="s">
        <v>1248</v>
      </c>
      <c r="D21" s="70" t="n">
        <v>46364</v>
      </c>
      <c r="E21" s="67" t="s">
        <v>450</v>
      </c>
      <c r="F21" s="67" t="s">
        <v>1230</v>
      </c>
      <c r="G21" s="67" t="s">
        <v>1249</v>
      </c>
      <c r="H21" s="66" t="n">
        <f aca="false">IF($D21="","",$D21-Targets!$C$8)</f>
        <v>99</v>
      </c>
      <c r="I21" s="66" t="str">
        <f aca="false">IF($A21="","",IF($E21="","No","Yes"))</f>
        <v>Yes</v>
      </c>
    </row>
    <row r="22" customFormat="false" ht="15" hidden="false" customHeight="true" outlineLevel="0" collapsed="false">
      <c r="A22" s="63" t="s">
        <v>1259</v>
      </c>
      <c r="B22" s="63" t="s">
        <v>933</v>
      </c>
      <c r="C22" s="63" t="s">
        <v>1256</v>
      </c>
      <c r="D22" s="69" t="n">
        <v>46369</v>
      </c>
      <c r="E22" s="63" t="s">
        <v>450</v>
      </c>
      <c r="F22" s="63" t="s">
        <v>1230</v>
      </c>
      <c r="G22" s="63" t="s">
        <v>1257</v>
      </c>
      <c r="H22" s="66" t="n">
        <f aca="false">IF($D22="","",$D22-Targets!$C$8)</f>
        <v>104</v>
      </c>
      <c r="I22" s="66" t="str">
        <f aca="false">IF($A22="","",IF($E22="","No","Yes"))</f>
        <v>Yes</v>
      </c>
    </row>
    <row r="23" customFormat="false" ht="15" hidden="false" customHeight="true" outlineLevel="0" collapsed="false">
      <c r="A23" s="67" t="s">
        <v>1260</v>
      </c>
      <c r="B23" s="67" t="s">
        <v>265</v>
      </c>
      <c r="C23" s="67" t="s">
        <v>1233</v>
      </c>
      <c r="D23" s="70" t="n">
        <v>46369</v>
      </c>
      <c r="E23" s="67" t="s">
        <v>449</v>
      </c>
      <c r="F23" s="67" t="s">
        <v>1230</v>
      </c>
      <c r="G23" s="67" t="s">
        <v>1235</v>
      </c>
      <c r="H23" s="66" t="n">
        <f aca="false">IF($D23="","",$D23-Targets!$C$8)</f>
        <v>104</v>
      </c>
      <c r="I23" s="66" t="str">
        <f aca="false">IF($A23="","",IF($E23="","No","Yes"))</f>
        <v>Yes</v>
      </c>
    </row>
    <row r="24" customFormat="false" ht="15" hidden="false" customHeight="true" outlineLevel="0" collapsed="false">
      <c r="A24" s="63" t="s">
        <v>1261</v>
      </c>
      <c r="B24" s="63" t="s">
        <v>272</v>
      </c>
      <c r="C24" s="63" t="s">
        <v>1243</v>
      </c>
      <c r="D24" s="69" t="n">
        <v>46370</v>
      </c>
      <c r="E24" s="63" t="s">
        <v>470</v>
      </c>
      <c r="F24" s="63" t="s">
        <v>1230</v>
      </c>
      <c r="G24" s="63" t="s">
        <v>1235</v>
      </c>
      <c r="H24" s="66" t="n">
        <f aca="false">IF($D24="","",$D24-Targets!$C$8)</f>
        <v>105</v>
      </c>
      <c r="I24" s="66" t="str">
        <f aca="false">IF($A24="","",IF($E24="","No","Yes"))</f>
        <v>Yes</v>
      </c>
    </row>
    <row r="25" customFormat="false" ht="15" hidden="false" customHeight="true" outlineLevel="0" collapsed="false">
      <c r="A25" s="67" t="s">
        <v>1262</v>
      </c>
      <c r="B25" s="67" t="s">
        <v>265</v>
      </c>
      <c r="C25" s="67" t="s">
        <v>1248</v>
      </c>
      <c r="D25" s="70" t="n">
        <v>46370</v>
      </c>
      <c r="E25" s="67" t="s">
        <v>449</v>
      </c>
      <c r="F25" s="67" t="s">
        <v>1230</v>
      </c>
      <c r="G25" s="67" t="s">
        <v>1249</v>
      </c>
      <c r="H25" s="66" t="n">
        <f aca="false">IF($D25="","",$D25-Targets!$C$8)</f>
        <v>105</v>
      </c>
      <c r="I25" s="66" t="str">
        <f aca="false">IF($A25="","",IF($E25="","No","Yes"))</f>
        <v>Yes</v>
      </c>
    </row>
    <row r="26" customFormat="false" ht="15" hidden="false" customHeight="true" outlineLevel="0" collapsed="false">
      <c r="A26" s="63" t="s">
        <v>1263</v>
      </c>
      <c r="B26" s="63" t="s">
        <v>1094</v>
      </c>
      <c r="C26" s="63" t="s">
        <v>1237</v>
      </c>
      <c r="D26" s="69" t="n">
        <v>46389</v>
      </c>
      <c r="E26" s="63" t="s">
        <v>474</v>
      </c>
      <c r="F26" s="63" t="s">
        <v>1230</v>
      </c>
      <c r="G26" s="63" t="s">
        <v>1235</v>
      </c>
      <c r="H26" s="66" t="n">
        <f aca="false">IF($D26="","",$D26-Targets!$C$8)</f>
        <v>124</v>
      </c>
      <c r="I26" s="66" t="str">
        <f aca="false">IF($A26="","",IF($E26="","No","Yes"))</f>
        <v>Yes</v>
      </c>
    </row>
    <row r="27" customFormat="false" ht="15" hidden="false" customHeight="true" outlineLevel="0" collapsed="false">
      <c r="A27" s="67" t="s">
        <v>1264</v>
      </c>
      <c r="B27" s="67" t="s">
        <v>569</v>
      </c>
      <c r="C27" s="67" t="s">
        <v>1229</v>
      </c>
      <c r="D27" s="70" t="n">
        <v>46393</v>
      </c>
      <c r="E27" s="67" t="s">
        <v>461</v>
      </c>
      <c r="F27" s="67" t="s">
        <v>1230</v>
      </c>
      <c r="G27" s="67" t="s">
        <v>1231</v>
      </c>
      <c r="H27" s="66" t="n">
        <f aca="false">IF($D27="","",$D27-Targets!$C$8)</f>
        <v>128</v>
      </c>
      <c r="I27" s="66" t="str">
        <f aca="false">IF($A27="","",IF($E27="","No","Yes"))</f>
        <v>Yes</v>
      </c>
    </row>
    <row r="28" customFormat="false" ht="15" hidden="false" customHeight="true" outlineLevel="0" collapsed="false">
      <c r="A28" s="63" t="s">
        <v>1265</v>
      </c>
      <c r="B28" s="63" t="s">
        <v>885</v>
      </c>
      <c r="C28" s="63" t="s">
        <v>1251</v>
      </c>
      <c r="D28" s="69" t="n">
        <v>46398</v>
      </c>
      <c r="E28" s="63" t="s">
        <v>470</v>
      </c>
      <c r="F28" s="63" t="s">
        <v>1230</v>
      </c>
      <c r="G28" s="63" t="s">
        <v>1252</v>
      </c>
      <c r="H28" s="66" t="n">
        <f aca="false">IF($D28="","",$D28-Targets!$C$8)</f>
        <v>133</v>
      </c>
      <c r="I28" s="66" t="str">
        <f aca="false">IF($A28="","",IF($E28="","No","Yes"))</f>
        <v>Yes</v>
      </c>
    </row>
    <row r="29" customFormat="false" ht="15" hidden="false" customHeight="true" outlineLevel="0" collapsed="false">
      <c r="A29" s="67" t="s">
        <v>1266</v>
      </c>
      <c r="B29" s="67" t="s">
        <v>851</v>
      </c>
      <c r="C29" s="67" t="s">
        <v>1251</v>
      </c>
      <c r="D29" s="70" t="n">
        <v>46409</v>
      </c>
      <c r="E29" s="67" t="s">
        <v>474</v>
      </c>
      <c r="F29" s="67" t="s">
        <v>1230</v>
      </c>
      <c r="G29" s="67" t="s">
        <v>1252</v>
      </c>
      <c r="H29" s="66" t="n">
        <f aca="false">IF($D29="","",$D29-Targets!$C$8)</f>
        <v>144</v>
      </c>
      <c r="I29" s="66" t="str">
        <f aca="false">IF($A29="","",IF($E29="","No","Yes"))</f>
        <v>Yes</v>
      </c>
    </row>
    <row r="30" customFormat="false" ht="15" hidden="false" customHeight="true" outlineLevel="0" collapsed="false">
      <c r="A30" s="63" t="s">
        <v>1267</v>
      </c>
      <c r="B30" s="63" t="s">
        <v>1138</v>
      </c>
      <c r="C30" s="63" t="s">
        <v>1237</v>
      </c>
      <c r="D30" s="69" t="n">
        <v>46415</v>
      </c>
      <c r="E30" s="63" t="s">
        <v>462</v>
      </c>
      <c r="F30" s="63" t="s">
        <v>1230</v>
      </c>
      <c r="G30" s="63" t="s">
        <v>1235</v>
      </c>
      <c r="H30" s="66" t="n">
        <f aca="false">IF($D30="","",$D30-Targets!$C$8)</f>
        <v>150</v>
      </c>
      <c r="I30" s="66" t="str">
        <f aca="false">IF($A30="","",IF($E30="","No","Yes"))</f>
        <v>Yes</v>
      </c>
    </row>
    <row r="31" customFormat="false" ht="15" hidden="false" customHeight="true" outlineLevel="0" collapsed="false">
      <c r="A31" s="67" t="s">
        <v>1268</v>
      </c>
      <c r="B31" s="67" t="s">
        <v>1032</v>
      </c>
      <c r="C31" s="67" t="s">
        <v>1243</v>
      </c>
      <c r="D31" s="70" t="n">
        <v>46421</v>
      </c>
      <c r="E31" s="67" t="s">
        <v>492</v>
      </c>
      <c r="F31" s="67" t="s">
        <v>1230</v>
      </c>
      <c r="G31" s="67" t="s">
        <v>1235</v>
      </c>
      <c r="H31" s="66" t="n">
        <f aca="false">IF($D31="","",$D31-Targets!$C$8)</f>
        <v>156</v>
      </c>
      <c r="I31" s="66" t="str">
        <f aca="false">IF($A31="","",IF($E31="","No","Yes"))</f>
        <v>Yes</v>
      </c>
    </row>
    <row r="32" customFormat="false" ht="15" hidden="false" customHeight="true" outlineLevel="0" collapsed="false">
      <c r="A32" s="63" t="s">
        <v>187</v>
      </c>
      <c r="B32" s="63" t="s">
        <v>805</v>
      </c>
      <c r="C32" s="63" t="s">
        <v>1233</v>
      </c>
      <c r="D32" s="69" t="n">
        <v>46433</v>
      </c>
      <c r="E32" s="63" t="s">
        <v>449</v>
      </c>
      <c r="F32" s="63" t="s">
        <v>1230</v>
      </c>
      <c r="G32" s="63" t="s">
        <v>1235</v>
      </c>
      <c r="H32" s="66" t="n">
        <f aca="false">IF($D32="","",$D32-Targets!$C$8)</f>
        <v>168</v>
      </c>
      <c r="I32" s="66" t="str">
        <f aca="false">IF($A32="","",IF($E32="","No","Yes"))</f>
        <v>Yes</v>
      </c>
    </row>
    <row r="33" customFormat="false" ht="15" hidden="false" customHeight="true" outlineLevel="0" collapsed="false">
      <c r="A33" s="67" t="s">
        <v>1269</v>
      </c>
      <c r="B33" s="67" t="s">
        <v>681</v>
      </c>
      <c r="C33" s="67" t="s">
        <v>1237</v>
      </c>
      <c r="D33" s="70" t="n">
        <v>46440</v>
      </c>
      <c r="E33" s="67" t="s">
        <v>449</v>
      </c>
      <c r="F33" s="67" t="s">
        <v>1230</v>
      </c>
      <c r="G33" s="67" t="s">
        <v>1235</v>
      </c>
      <c r="H33" s="66" t="n">
        <f aca="false">IF($D33="","",$D33-Targets!$C$8)</f>
        <v>175</v>
      </c>
      <c r="I33" s="66" t="str">
        <f aca="false">IF($A33="","",IF($E33="","No","Yes"))</f>
        <v>Yes</v>
      </c>
    </row>
    <row r="34" customFormat="false" ht="15" hidden="false" customHeight="true" outlineLevel="0" collapsed="false">
      <c r="A34" s="63" t="s">
        <v>1270</v>
      </c>
      <c r="B34" s="63" t="s">
        <v>876</v>
      </c>
      <c r="C34" s="63" t="s">
        <v>1243</v>
      </c>
      <c r="D34" s="69" t="n">
        <v>46444</v>
      </c>
      <c r="E34" s="63" t="s">
        <v>456</v>
      </c>
      <c r="F34" s="63" t="s">
        <v>1230</v>
      </c>
      <c r="G34" s="63" t="s">
        <v>1235</v>
      </c>
      <c r="H34" s="66" t="n">
        <f aca="false">IF($D34="","",$D34-Targets!$C$8)</f>
        <v>179</v>
      </c>
      <c r="I34" s="66" t="str">
        <f aca="false">IF($A34="","",IF($E34="","No","Yes"))</f>
        <v>Yes</v>
      </c>
    </row>
    <row r="35" customFormat="false" ht="15" hidden="false" customHeight="true" outlineLevel="0" collapsed="false">
      <c r="A35" s="67" t="s">
        <v>1271</v>
      </c>
      <c r="B35" s="67" t="s">
        <v>991</v>
      </c>
      <c r="C35" s="67" t="s">
        <v>1256</v>
      </c>
      <c r="D35" s="70" t="n">
        <v>46455</v>
      </c>
      <c r="E35" s="67" t="s">
        <v>450</v>
      </c>
      <c r="F35" s="67" t="s">
        <v>1230</v>
      </c>
      <c r="G35" s="67" t="s">
        <v>1257</v>
      </c>
      <c r="H35" s="66" t="n">
        <f aca="false">IF($D35="","",$D35-Targets!$C$8)</f>
        <v>190</v>
      </c>
      <c r="I35" s="66" t="str">
        <f aca="false">IF($A35="","",IF($E35="","No","Yes"))</f>
        <v>Yes</v>
      </c>
    </row>
    <row r="36" customFormat="false" ht="15" hidden="false" customHeight="true" outlineLevel="0" collapsed="false">
      <c r="A36" s="63" t="s">
        <v>1272</v>
      </c>
      <c r="B36" s="63" t="s">
        <v>1045</v>
      </c>
      <c r="C36" s="63" t="s">
        <v>1229</v>
      </c>
      <c r="D36" s="69" t="n">
        <v>46460</v>
      </c>
      <c r="E36" s="63" t="s">
        <v>492</v>
      </c>
      <c r="F36" s="63" t="s">
        <v>1230</v>
      </c>
      <c r="G36" s="63" t="s">
        <v>1231</v>
      </c>
      <c r="H36" s="66" t="n">
        <f aca="false">IF($D36="","",$D36-Targets!$C$8)</f>
        <v>195</v>
      </c>
      <c r="I36" s="66" t="str">
        <f aca="false">IF($A36="","",IF($E36="","No","Yes"))</f>
        <v>Yes</v>
      </c>
    </row>
    <row r="37" customFormat="false" ht="15" hidden="false" customHeight="true" outlineLevel="0" collapsed="false">
      <c r="A37" s="67" t="s">
        <v>1273</v>
      </c>
      <c r="B37" s="67" t="s">
        <v>968</v>
      </c>
      <c r="C37" s="67" t="s">
        <v>1248</v>
      </c>
      <c r="D37" s="70" t="n">
        <v>46463</v>
      </c>
      <c r="E37" s="67" t="s">
        <v>450</v>
      </c>
      <c r="F37" s="67" t="s">
        <v>1230</v>
      </c>
      <c r="G37" s="67" t="s">
        <v>1249</v>
      </c>
      <c r="H37" s="66" t="n">
        <f aca="false">IF($D37="","",$D37-Targets!$C$8)</f>
        <v>198</v>
      </c>
      <c r="I37" s="66" t="str">
        <f aca="false">IF($A37="","",IF($E37="","No","Yes"))</f>
        <v>Yes</v>
      </c>
    </row>
    <row r="38" customFormat="false" ht="15" hidden="false" customHeight="true" outlineLevel="0" collapsed="false">
      <c r="A38" s="63" t="s">
        <v>1274</v>
      </c>
      <c r="B38" s="63" t="s">
        <v>1034</v>
      </c>
      <c r="C38" s="63" t="s">
        <v>1241</v>
      </c>
      <c r="D38" s="69" t="n">
        <v>46463</v>
      </c>
      <c r="E38" s="63" t="s">
        <v>449</v>
      </c>
      <c r="F38" s="63" t="s">
        <v>1230</v>
      </c>
      <c r="G38" s="63" t="s">
        <v>1231</v>
      </c>
      <c r="H38" s="66" t="n">
        <f aca="false">IF($D38="","",$D38-Targets!$C$8)</f>
        <v>198</v>
      </c>
      <c r="I38" s="66" t="str">
        <f aca="false">IF($A38="","",IF($E38="","No","Yes"))</f>
        <v>Yes</v>
      </c>
    </row>
    <row r="39" customFormat="false" ht="15" hidden="false" customHeight="true" outlineLevel="0" collapsed="false">
      <c r="A39" s="67" t="s">
        <v>1275</v>
      </c>
      <c r="B39" s="67" t="s">
        <v>772</v>
      </c>
      <c r="C39" s="67" t="s">
        <v>1233</v>
      </c>
      <c r="D39" s="70" t="n">
        <v>46464</v>
      </c>
      <c r="E39" s="67" t="s">
        <v>470</v>
      </c>
      <c r="F39" s="67" t="s">
        <v>1230</v>
      </c>
      <c r="G39" s="67" t="s">
        <v>1235</v>
      </c>
      <c r="H39" s="66" t="n">
        <f aca="false">IF($D39="","",$D39-Targets!$C$8)</f>
        <v>199</v>
      </c>
      <c r="I39" s="66" t="str">
        <f aca="false">IF($A39="","",IF($E39="","No","Yes"))</f>
        <v>Yes</v>
      </c>
    </row>
    <row r="40" customFormat="false" ht="15" hidden="false" customHeight="true" outlineLevel="0" collapsed="false">
      <c r="A40" s="63" t="s">
        <v>1276</v>
      </c>
      <c r="B40" s="63" t="s">
        <v>632</v>
      </c>
      <c r="C40" s="63" t="s">
        <v>1233</v>
      </c>
      <c r="D40" s="69" t="n">
        <v>46467</v>
      </c>
      <c r="E40" s="63" t="s">
        <v>462</v>
      </c>
      <c r="F40" s="63" t="s">
        <v>1230</v>
      </c>
      <c r="G40" s="63" t="s">
        <v>1235</v>
      </c>
      <c r="H40" s="66" t="n">
        <f aca="false">IF($D40="","",$D40-Targets!$C$8)</f>
        <v>202</v>
      </c>
      <c r="I40" s="66" t="str">
        <f aca="false">IF($A40="","",IF($E40="","No","Yes"))</f>
        <v>Yes</v>
      </c>
    </row>
    <row r="41" customFormat="false" ht="15" hidden="false" customHeight="true" outlineLevel="0" collapsed="false">
      <c r="A41" s="67" t="s">
        <v>1277</v>
      </c>
      <c r="B41" s="67" t="s">
        <v>515</v>
      </c>
      <c r="C41" s="67" t="s">
        <v>1256</v>
      </c>
      <c r="D41" s="70" t="n">
        <v>46468</v>
      </c>
      <c r="E41" s="67" t="s">
        <v>456</v>
      </c>
      <c r="F41" s="67" t="s">
        <v>1230</v>
      </c>
      <c r="G41" s="67" t="s">
        <v>1257</v>
      </c>
      <c r="H41" s="66" t="n">
        <f aca="false">IF($D41="","",$D41-Targets!$C$8)</f>
        <v>203</v>
      </c>
      <c r="I41" s="66" t="str">
        <f aca="false">IF($A41="","",IF($E41="","No","Yes"))</f>
        <v>Yes</v>
      </c>
    </row>
    <row r="42" customFormat="false" ht="15" hidden="false" customHeight="true" outlineLevel="0" collapsed="false">
      <c r="A42" s="63" t="s">
        <v>1278</v>
      </c>
      <c r="B42" s="63" t="s">
        <v>546</v>
      </c>
      <c r="C42" s="63" t="s">
        <v>1251</v>
      </c>
      <c r="D42" s="69" t="n">
        <v>46468</v>
      </c>
      <c r="E42" s="63" t="s">
        <v>449</v>
      </c>
      <c r="F42" s="63" t="s">
        <v>1230</v>
      </c>
      <c r="G42" s="63" t="s">
        <v>1252</v>
      </c>
      <c r="H42" s="66" t="n">
        <f aca="false">IF($D42="","",$D42-Targets!$C$8)</f>
        <v>203</v>
      </c>
      <c r="I42" s="66" t="str">
        <f aca="false">IF($A42="","",IF($E42="","No","Yes"))</f>
        <v>Yes</v>
      </c>
    </row>
    <row r="43" customFormat="false" ht="15" hidden="false" customHeight="true" outlineLevel="0" collapsed="false">
      <c r="A43" s="67" t="s">
        <v>1279</v>
      </c>
      <c r="B43" s="67" t="s">
        <v>1094</v>
      </c>
      <c r="C43" s="67" t="s">
        <v>1256</v>
      </c>
      <c r="D43" s="70" t="n">
        <v>46470</v>
      </c>
      <c r="E43" s="67" t="s">
        <v>450</v>
      </c>
      <c r="F43" s="67" t="s">
        <v>1230</v>
      </c>
      <c r="G43" s="67" t="s">
        <v>1257</v>
      </c>
      <c r="H43" s="66" t="n">
        <f aca="false">IF($D43="","",$D43-Targets!$C$8)</f>
        <v>205</v>
      </c>
      <c r="I43" s="66" t="str">
        <f aca="false">IF($A43="","",IF($E43="","No","Yes"))</f>
        <v>Yes</v>
      </c>
    </row>
    <row r="44" customFormat="false" ht="15" hidden="false" customHeight="true" outlineLevel="0" collapsed="false">
      <c r="A44" s="63" t="s">
        <v>1280</v>
      </c>
      <c r="B44" s="63" t="s">
        <v>869</v>
      </c>
      <c r="C44" s="63" t="s">
        <v>1251</v>
      </c>
      <c r="D44" s="69" t="n">
        <v>46472</v>
      </c>
      <c r="E44" s="63" t="s">
        <v>462</v>
      </c>
      <c r="F44" s="63" t="s">
        <v>1230</v>
      </c>
      <c r="G44" s="63" t="s">
        <v>1252</v>
      </c>
      <c r="H44" s="66" t="n">
        <f aca="false">IF($D44="","",$D44-Targets!$C$8)</f>
        <v>207</v>
      </c>
      <c r="I44" s="66" t="str">
        <f aca="false">IF($A44="","",IF($E44="","No","Yes"))</f>
        <v>Yes</v>
      </c>
    </row>
    <row r="45" customFormat="false" ht="15" hidden="false" customHeight="true" outlineLevel="0" collapsed="false">
      <c r="A45" s="67" t="s">
        <v>1281</v>
      </c>
      <c r="B45" s="67" t="s">
        <v>669</v>
      </c>
      <c r="C45" s="67" t="s">
        <v>1256</v>
      </c>
      <c r="D45" s="70" t="n">
        <v>46473</v>
      </c>
      <c r="E45" s="67" t="s">
        <v>456</v>
      </c>
      <c r="F45" s="67" t="s">
        <v>1230</v>
      </c>
      <c r="G45" s="67" t="s">
        <v>1257</v>
      </c>
      <c r="H45" s="66" t="n">
        <f aca="false">IF($D45="","",$D45-Targets!$C$8)</f>
        <v>208</v>
      </c>
      <c r="I45" s="66" t="str">
        <f aca="false">IF($A45="","",IF($E45="","No","Yes"))</f>
        <v>Yes</v>
      </c>
    </row>
    <row r="46" customFormat="false" ht="15" hidden="false" customHeight="true" outlineLevel="0" collapsed="false">
      <c r="A46" s="63" t="s">
        <v>1282</v>
      </c>
      <c r="B46" s="63" t="s">
        <v>768</v>
      </c>
      <c r="C46" s="63" t="s">
        <v>1229</v>
      </c>
      <c r="D46" s="69" t="n">
        <v>46480</v>
      </c>
      <c r="E46" s="63" t="s">
        <v>462</v>
      </c>
      <c r="F46" s="63" t="s">
        <v>1230</v>
      </c>
      <c r="G46" s="63" t="s">
        <v>1231</v>
      </c>
      <c r="H46" s="66" t="n">
        <f aca="false">IF($D46="","",$D46-Targets!$C$8)</f>
        <v>215</v>
      </c>
      <c r="I46" s="66" t="str">
        <f aca="false">IF($A46="","",IF($E46="","No","Yes"))</f>
        <v>Yes</v>
      </c>
    </row>
    <row r="47" customFormat="false" ht="15" hidden="false" customHeight="true" outlineLevel="0" collapsed="false">
      <c r="A47" s="67" t="s">
        <v>1283</v>
      </c>
      <c r="B47" s="67" t="s">
        <v>933</v>
      </c>
      <c r="C47" s="67" t="s">
        <v>1229</v>
      </c>
      <c r="D47" s="70" t="n">
        <v>46483</v>
      </c>
      <c r="E47" s="67" t="s">
        <v>456</v>
      </c>
      <c r="F47" s="67" t="s">
        <v>1230</v>
      </c>
      <c r="G47" s="67" t="s">
        <v>1231</v>
      </c>
      <c r="H47" s="66" t="n">
        <f aca="false">IF($D47="","",$D47-Targets!$C$8)</f>
        <v>218</v>
      </c>
      <c r="I47" s="66" t="str">
        <f aca="false">IF($A47="","",IF($E47="","No","Yes"))</f>
        <v>Yes</v>
      </c>
    </row>
    <row r="48" customFormat="false" ht="15" hidden="false" customHeight="true" outlineLevel="0" collapsed="false">
      <c r="A48" s="63" t="s">
        <v>1284</v>
      </c>
      <c r="B48" s="63" t="s">
        <v>634</v>
      </c>
      <c r="C48" s="63" t="s">
        <v>1243</v>
      </c>
      <c r="D48" s="69" t="n">
        <v>46487</v>
      </c>
      <c r="E48" s="63" t="s">
        <v>449</v>
      </c>
      <c r="F48" s="63" t="s">
        <v>1230</v>
      </c>
      <c r="G48" s="63" t="s">
        <v>1235</v>
      </c>
      <c r="H48" s="66" t="n">
        <f aca="false">IF($D48="","",$D48-Targets!$C$8)</f>
        <v>222</v>
      </c>
      <c r="I48" s="66" t="str">
        <f aca="false">IF($A48="","",IF($E48="","No","Yes"))</f>
        <v>Yes</v>
      </c>
    </row>
    <row r="49" customFormat="false" ht="15" hidden="false" customHeight="true" outlineLevel="0" collapsed="false">
      <c r="A49" s="67" t="s">
        <v>1285</v>
      </c>
      <c r="B49" s="67" t="s">
        <v>933</v>
      </c>
      <c r="C49" s="67" t="s">
        <v>1241</v>
      </c>
      <c r="D49" s="70" t="n">
        <v>46487</v>
      </c>
      <c r="E49" s="67" t="s">
        <v>456</v>
      </c>
      <c r="F49" s="67" t="s">
        <v>1230</v>
      </c>
      <c r="G49" s="67" t="s">
        <v>1231</v>
      </c>
      <c r="H49" s="66" t="n">
        <f aca="false">IF($D49="","",$D49-Targets!$C$8)</f>
        <v>222</v>
      </c>
      <c r="I49" s="66" t="str">
        <f aca="false">IF($A49="","",IF($E49="","No","Yes"))</f>
        <v>Yes</v>
      </c>
    </row>
    <row r="50" customFormat="false" ht="15" hidden="false" customHeight="true" outlineLevel="0" collapsed="false">
      <c r="A50" s="63" t="s">
        <v>1286</v>
      </c>
      <c r="B50" s="63" t="s">
        <v>805</v>
      </c>
      <c r="C50" s="63" t="s">
        <v>1243</v>
      </c>
      <c r="D50" s="69" t="n">
        <v>46488</v>
      </c>
      <c r="E50" s="63" t="s">
        <v>461</v>
      </c>
      <c r="F50" s="63" t="s">
        <v>1230</v>
      </c>
      <c r="G50" s="63" t="s">
        <v>1235</v>
      </c>
      <c r="H50" s="66" t="n">
        <f aca="false">IF($D50="","",$D50-Targets!$C$8)</f>
        <v>223</v>
      </c>
      <c r="I50" s="66" t="str">
        <f aca="false">IF($A50="","",IF($E50="","No","Yes"))</f>
        <v>Yes</v>
      </c>
    </row>
    <row r="51" customFormat="false" ht="15" hidden="false" customHeight="true" outlineLevel="0" collapsed="false">
      <c r="A51" s="67" t="s">
        <v>1287</v>
      </c>
      <c r="B51" s="67" t="s">
        <v>312</v>
      </c>
      <c r="C51" s="67" t="s">
        <v>1241</v>
      </c>
      <c r="D51" s="70" t="n">
        <v>46491</v>
      </c>
      <c r="E51" s="67" t="s">
        <v>474</v>
      </c>
      <c r="F51" s="67" t="s">
        <v>1230</v>
      </c>
      <c r="G51" s="67" t="s">
        <v>1231</v>
      </c>
      <c r="H51" s="66" t="n">
        <f aca="false">IF($D51="","",$D51-Targets!$C$8)</f>
        <v>226</v>
      </c>
      <c r="I51" s="66" t="str">
        <f aca="false">IF($A51="","",IF($E51="","No","Yes"))</f>
        <v>Yes</v>
      </c>
    </row>
    <row r="52" customFormat="false" ht="15" hidden="false" customHeight="true" outlineLevel="0" collapsed="false">
      <c r="A52" s="63" t="s">
        <v>1288</v>
      </c>
      <c r="B52" s="63" t="s">
        <v>885</v>
      </c>
      <c r="C52" s="63" t="s">
        <v>1237</v>
      </c>
      <c r="D52" s="69" t="n">
        <v>46492</v>
      </c>
      <c r="E52" s="63" t="s">
        <v>456</v>
      </c>
      <c r="F52" s="63" t="s">
        <v>1230</v>
      </c>
      <c r="G52" s="63" t="s">
        <v>1235</v>
      </c>
      <c r="H52" s="66" t="n">
        <f aca="false">IF($D52="","",$D52-Targets!$C$8)</f>
        <v>227</v>
      </c>
      <c r="I52" s="66" t="str">
        <f aca="false">IF($A52="","",IF($E52="","No","Yes"))</f>
        <v>Yes</v>
      </c>
    </row>
    <row r="53" customFormat="false" ht="15" hidden="false" customHeight="true" outlineLevel="0" collapsed="false">
      <c r="A53" s="67" t="s">
        <v>1289</v>
      </c>
      <c r="B53" s="67" t="s">
        <v>677</v>
      </c>
      <c r="C53" s="67" t="s">
        <v>1248</v>
      </c>
      <c r="D53" s="70" t="n">
        <v>46498</v>
      </c>
      <c r="E53" s="67" t="s">
        <v>461</v>
      </c>
      <c r="F53" s="67" t="s">
        <v>1230</v>
      </c>
      <c r="G53" s="67" t="s">
        <v>1249</v>
      </c>
      <c r="H53" s="66" t="n">
        <f aca="false">IF($D53="","",$D53-Targets!$C$8)</f>
        <v>233</v>
      </c>
      <c r="I53" s="66" t="str">
        <f aca="false">IF($A53="","",IF($E53="","No","Yes"))</f>
        <v>Yes</v>
      </c>
    </row>
    <row r="54" customFormat="false" ht="15" hidden="false" customHeight="true" outlineLevel="0" collapsed="false">
      <c r="A54" s="63"/>
      <c r="B54" s="63"/>
      <c r="C54" s="63"/>
      <c r="D54" s="69"/>
      <c r="E54" s="63"/>
      <c r="F54" s="63"/>
      <c r="G54" s="63"/>
      <c r="H54" s="66" t="str">
        <f aca="false">IF($D54="","",$D54-Targets!$C$8)</f>
        <v/>
      </c>
      <c r="I54" s="66" t="str">
        <f aca="false">IF($A54="","",IF($E54="","No","Yes"))</f>
        <v/>
      </c>
    </row>
    <row r="55" customFormat="false" ht="15" hidden="false" customHeight="true" outlineLevel="0" collapsed="false">
      <c r="A55" s="67"/>
      <c r="B55" s="67"/>
      <c r="C55" s="67"/>
      <c r="D55" s="70"/>
      <c r="E55" s="67"/>
      <c r="F55" s="67"/>
      <c r="G55" s="67"/>
      <c r="H55" s="66" t="str">
        <f aca="false">IF($D55="","",$D55-Targets!$C$8)</f>
        <v/>
      </c>
      <c r="I55" s="66" t="str">
        <f aca="false">IF($A55="","",IF($E55="","No","Yes"))</f>
        <v/>
      </c>
    </row>
    <row r="56" customFormat="false" ht="15" hidden="false" customHeight="true" outlineLevel="0" collapsed="false">
      <c r="A56" s="63"/>
      <c r="B56" s="63"/>
      <c r="C56" s="63"/>
      <c r="D56" s="69"/>
      <c r="E56" s="63"/>
      <c r="F56" s="63"/>
      <c r="G56" s="63"/>
      <c r="H56" s="66" t="str">
        <f aca="false">IF($D56="","",$D56-Targets!$C$8)</f>
        <v/>
      </c>
      <c r="I56" s="66" t="str">
        <f aca="false">IF($A56="","",IF($E56="","No","Yes"))</f>
        <v/>
      </c>
    </row>
    <row r="57" customFormat="false" ht="15" hidden="false" customHeight="true" outlineLevel="0" collapsed="false">
      <c r="A57" s="67"/>
      <c r="B57" s="67"/>
      <c r="C57" s="67"/>
      <c r="D57" s="70"/>
      <c r="E57" s="67"/>
      <c r="F57" s="67"/>
      <c r="G57" s="67"/>
      <c r="H57" s="66" t="str">
        <f aca="false">IF($D57="","",$D57-Targets!$C$8)</f>
        <v/>
      </c>
      <c r="I57" s="66" t="str">
        <f aca="false">IF($A57="","",IF($E57="","No","Yes"))</f>
        <v/>
      </c>
    </row>
    <row r="58" customFormat="false" ht="15" hidden="false" customHeight="true" outlineLevel="0" collapsed="false">
      <c r="A58" s="63"/>
      <c r="B58" s="63"/>
      <c r="C58" s="63"/>
      <c r="D58" s="69"/>
      <c r="E58" s="63"/>
      <c r="F58" s="63"/>
      <c r="G58" s="63"/>
      <c r="H58" s="66" t="str">
        <f aca="false">IF($D58="","",$D58-Targets!$C$8)</f>
        <v/>
      </c>
      <c r="I58" s="66" t="str">
        <f aca="false">IF($A58="","",IF($E58="","No","Yes"))</f>
        <v/>
      </c>
    </row>
    <row r="59" customFormat="false" ht="15" hidden="false" customHeight="true" outlineLevel="0" collapsed="false">
      <c r="A59" s="67"/>
      <c r="B59" s="67"/>
      <c r="C59" s="67"/>
      <c r="D59" s="70"/>
      <c r="E59" s="67"/>
      <c r="F59" s="67"/>
      <c r="G59" s="67"/>
      <c r="H59" s="66" t="str">
        <f aca="false">IF($D59="","",$D59-Targets!$C$8)</f>
        <v/>
      </c>
      <c r="I59" s="66" t="str">
        <f aca="false">IF($A59="","",IF($E59="","No","Yes"))</f>
        <v/>
      </c>
    </row>
    <row r="60" customFormat="false" ht="15" hidden="false" customHeight="true" outlineLevel="0" collapsed="false">
      <c r="A60" s="63"/>
      <c r="B60" s="63"/>
      <c r="C60" s="63"/>
      <c r="D60" s="69"/>
      <c r="E60" s="63"/>
      <c r="F60" s="63"/>
      <c r="G60" s="63"/>
      <c r="H60" s="66" t="str">
        <f aca="false">IF($D60="","",$D60-Targets!$C$8)</f>
        <v/>
      </c>
      <c r="I60" s="66" t="str">
        <f aca="false">IF($A60="","",IF($E60="","No","Yes"))</f>
        <v/>
      </c>
    </row>
    <row r="61" customFormat="false" ht="15" hidden="false" customHeight="true" outlineLevel="0" collapsed="false">
      <c r="A61" s="67"/>
      <c r="B61" s="67"/>
      <c r="C61" s="67"/>
      <c r="D61" s="70"/>
      <c r="E61" s="67"/>
      <c r="F61" s="67"/>
      <c r="G61" s="67"/>
      <c r="H61" s="66" t="str">
        <f aca="false">IF($D61="","",$D61-Targets!$C$8)</f>
        <v/>
      </c>
      <c r="I61" s="66" t="str">
        <f aca="false">IF($A61="","",IF($E61="","No","Yes"))</f>
        <v/>
      </c>
    </row>
    <row r="62" customFormat="false" ht="15" hidden="false" customHeight="true" outlineLevel="0" collapsed="false">
      <c r="A62" s="63"/>
      <c r="B62" s="63"/>
      <c r="C62" s="63"/>
      <c r="D62" s="69"/>
      <c r="E62" s="63"/>
      <c r="F62" s="63"/>
      <c r="G62" s="63"/>
      <c r="H62" s="66" t="str">
        <f aca="false">IF($D62="","",$D62-Targets!$C$8)</f>
        <v/>
      </c>
      <c r="I62" s="66" t="str">
        <f aca="false">IF($A62="","",IF($E62="","No","Yes"))</f>
        <v/>
      </c>
    </row>
    <row r="63" customFormat="false" ht="15" hidden="false" customHeight="true" outlineLevel="0" collapsed="false">
      <c r="A63" s="67"/>
      <c r="B63" s="67"/>
      <c r="C63" s="67"/>
      <c r="D63" s="70"/>
      <c r="E63" s="67"/>
      <c r="F63" s="67"/>
      <c r="G63" s="67"/>
      <c r="H63" s="66" t="str">
        <f aca="false">IF($D63="","",$D63-Targets!$C$8)</f>
        <v/>
      </c>
      <c r="I63" s="66" t="str">
        <f aca="false">IF($A63="","",IF($E63="","No","Yes"))</f>
        <v/>
      </c>
    </row>
    <row r="64" customFormat="false" ht="15" hidden="false" customHeight="true" outlineLevel="0" collapsed="false">
      <c r="A64" s="63"/>
      <c r="B64" s="63"/>
      <c r="C64" s="63"/>
      <c r="D64" s="69"/>
      <c r="E64" s="63"/>
      <c r="F64" s="63"/>
      <c r="G64" s="63"/>
      <c r="H64" s="66" t="str">
        <f aca="false">IF($D64="","",$D64-Targets!$C$8)</f>
        <v/>
      </c>
      <c r="I64" s="66" t="str">
        <f aca="false">IF($A64="","",IF($E64="","No","Yes"))</f>
        <v/>
      </c>
    </row>
    <row r="65" customFormat="false" ht="15" hidden="false" customHeight="true" outlineLevel="0" collapsed="false">
      <c r="A65" s="67"/>
      <c r="B65" s="67"/>
      <c r="C65" s="67"/>
      <c r="D65" s="70"/>
      <c r="E65" s="67"/>
      <c r="F65" s="67"/>
      <c r="G65" s="67"/>
      <c r="H65" s="66" t="str">
        <f aca="false">IF($D65="","",$D65-Targets!$C$8)</f>
        <v/>
      </c>
      <c r="I65" s="66" t="str">
        <f aca="false">IF($A65="","",IF($E65="","No","Yes"))</f>
        <v/>
      </c>
    </row>
    <row r="66" customFormat="false" ht="15" hidden="false" customHeight="true" outlineLevel="0" collapsed="false">
      <c r="A66" s="63"/>
      <c r="B66" s="63"/>
      <c r="C66" s="63"/>
      <c r="D66" s="69"/>
      <c r="E66" s="63"/>
      <c r="F66" s="63"/>
      <c r="G66" s="63"/>
      <c r="H66" s="66" t="str">
        <f aca="false">IF($D66="","",$D66-Targets!$C$8)</f>
        <v/>
      </c>
      <c r="I66" s="66" t="str">
        <f aca="false">IF($A66="","",IF($E66="","No","Yes"))</f>
        <v/>
      </c>
    </row>
    <row r="67" customFormat="false" ht="15" hidden="false" customHeight="true" outlineLevel="0" collapsed="false">
      <c r="A67" s="67"/>
      <c r="B67" s="67"/>
      <c r="C67" s="67"/>
      <c r="D67" s="70"/>
      <c r="E67" s="67"/>
      <c r="F67" s="67"/>
      <c r="G67" s="67"/>
      <c r="H67" s="66" t="str">
        <f aca="false">IF($D67="","",$D67-Targets!$C$8)</f>
        <v/>
      </c>
      <c r="I67" s="66" t="str">
        <f aca="false">IF($A67="","",IF($E67="","No","Yes"))</f>
        <v/>
      </c>
    </row>
    <row r="68" customFormat="false" ht="15" hidden="false" customHeight="true" outlineLevel="0" collapsed="false">
      <c r="A68" s="63"/>
      <c r="B68" s="63"/>
      <c r="C68" s="63"/>
      <c r="D68" s="69"/>
      <c r="E68" s="63"/>
      <c r="F68" s="63"/>
      <c r="G68" s="63"/>
      <c r="H68" s="66" t="str">
        <f aca="false">IF($D68="","",$D68-Targets!$C$8)</f>
        <v/>
      </c>
      <c r="I68" s="66" t="str">
        <f aca="false">IF($A68="","",IF($E68="","No","Yes"))</f>
        <v/>
      </c>
    </row>
    <row r="69" customFormat="false" ht="15" hidden="false" customHeight="true" outlineLevel="0" collapsed="false">
      <c r="A69" s="67"/>
      <c r="B69" s="67"/>
      <c r="C69" s="67"/>
      <c r="D69" s="70"/>
      <c r="E69" s="67"/>
      <c r="F69" s="67"/>
      <c r="G69" s="67"/>
      <c r="H69" s="66" t="str">
        <f aca="false">IF($D69="","",$D69-Targets!$C$8)</f>
        <v/>
      </c>
      <c r="I69" s="66" t="str">
        <f aca="false">IF($A69="","",IF($E69="","No","Yes"))</f>
        <v/>
      </c>
    </row>
    <row r="70" customFormat="false" ht="15" hidden="false" customHeight="true" outlineLevel="0" collapsed="false">
      <c r="A70" s="63"/>
      <c r="B70" s="63"/>
      <c r="C70" s="63"/>
      <c r="D70" s="69"/>
      <c r="E70" s="63"/>
      <c r="F70" s="63"/>
      <c r="G70" s="63"/>
      <c r="H70" s="66" t="str">
        <f aca="false">IF($D70="","",$D70-Targets!$C$8)</f>
        <v/>
      </c>
      <c r="I70" s="66" t="str">
        <f aca="false">IF($A70="","",IF($E70="","No","Yes"))</f>
        <v/>
      </c>
    </row>
    <row r="71" customFormat="false" ht="15" hidden="false" customHeight="true" outlineLevel="0" collapsed="false">
      <c r="A71" s="67"/>
      <c r="B71" s="67"/>
      <c r="C71" s="67"/>
      <c r="D71" s="70"/>
      <c r="E71" s="67"/>
      <c r="F71" s="67"/>
      <c r="G71" s="67"/>
      <c r="H71" s="66" t="str">
        <f aca="false">IF($D71="","",$D71-Targets!$C$8)</f>
        <v/>
      </c>
      <c r="I71" s="66" t="str">
        <f aca="false">IF($A71="","",IF($E71="","No","Yes"))</f>
        <v/>
      </c>
    </row>
    <row r="72" customFormat="false" ht="15" hidden="false" customHeight="true" outlineLevel="0" collapsed="false">
      <c r="A72" s="63"/>
      <c r="B72" s="63"/>
      <c r="C72" s="63"/>
      <c r="D72" s="69"/>
      <c r="E72" s="63"/>
      <c r="F72" s="63"/>
      <c r="G72" s="63"/>
      <c r="H72" s="66" t="str">
        <f aca="false">IF($D72="","",$D72-Targets!$C$8)</f>
        <v/>
      </c>
      <c r="I72" s="66" t="str">
        <f aca="false">IF($A72="","",IF($E72="","No","Yes"))</f>
        <v/>
      </c>
    </row>
    <row r="73" customFormat="false" ht="15" hidden="false" customHeight="true" outlineLevel="0" collapsed="false">
      <c r="A73" s="67"/>
      <c r="B73" s="67"/>
      <c r="C73" s="67"/>
      <c r="D73" s="70"/>
      <c r="E73" s="67"/>
      <c r="F73" s="67"/>
      <c r="G73" s="67"/>
      <c r="H73" s="66" t="str">
        <f aca="false">IF($D73="","",$D73-Targets!$C$8)</f>
        <v/>
      </c>
      <c r="I73" s="66" t="str">
        <f aca="false">IF($A73="","",IF($E73="","No","Yes"))</f>
        <v/>
      </c>
    </row>
    <row r="74" customFormat="false" ht="15" hidden="false" customHeight="true" outlineLevel="0" collapsed="false">
      <c r="A74" s="63"/>
      <c r="B74" s="63"/>
      <c r="C74" s="63"/>
      <c r="D74" s="69"/>
      <c r="E74" s="63"/>
      <c r="F74" s="63"/>
      <c r="G74" s="63"/>
      <c r="H74" s="66" t="str">
        <f aca="false">IF($D74="","",$D74-Targets!$C$8)</f>
        <v/>
      </c>
      <c r="I74" s="66" t="str">
        <f aca="false">IF($A74="","",IF($E74="","No","Yes"))</f>
        <v/>
      </c>
    </row>
    <row r="75" customFormat="false" ht="15" hidden="false" customHeight="true" outlineLevel="0" collapsed="false">
      <c r="A75" s="67"/>
      <c r="B75" s="67"/>
      <c r="C75" s="67"/>
      <c r="D75" s="70"/>
      <c r="E75" s="67"/>
      <c r="F75" s="67"/>
      <c r="G75" s="67"/>
      <c r="H75" s="66" t="str">
        <f aca="false">IF($D75="","",$D75-Targets!$C$8)</f>
        <v/>
      </c>
      <c r="I75" s="66" t="str">
        <f aca="false">IF($A75="","",IF($E75="","No","Yes"))</f>
        <v/>
      </c>
    </row>
    <row r="76" customFormat="false" ht="15" hidden="false" customHeight="true" outlineLevel="0" collapsed="false">
      <c r="A76" s="63"/>
      <c r="B76" s="63"/>
      <c r="C76" s="63"/>
      <c r="D76" s="69"/>
      <c r="E76" s="63"/>
      <c r="F76" s="63"/>
      <c r="G76" s="63"/>
      <c r="H76" s="66" t="str">
        <f aca="false">IF($D76="","",$D76-Targets!$C$8)</f>
        <v/>
      </c>
      <c r="I76" s="66" t="str">
        <f aca="false">IF($A76="","",IF($E76="","No","Yes"))</f>
        <v/>
      </c>
    </row>
    <row r="77" customFormat="false" ht="15" hidden="false" customHeight="true" outlineLevel="0" collapsed="false">
      <c r="A77" s="67"/>
      <c r="B77" s="67"/>
      <c r="C77" s="67"/>
      <c r="D77" s="70"/>
      <c r="E77" s="67"/>
      <c r="F77" s="67"/>
      <c r="G77" s="67"/>
      <c r="H77" s="66" t="str">
        <f aca="false">IF($D77="","",$D77-Targets!$C$8)</f>
        <v/>
      </c>
      <c r="I77" s="66" t="str">
        <f aca="false">IF($A77="","",IF($E77="","No","Yes"))</f>
        <v/>
      </c>
    </row>
    <row r="78" customFormat="false" ht="15" hidden="false" customHeight="true" outlineLevel="0" collapsed="false">
      <c r="A78" s="63"/>
      <c r="B78" s="63"/>
      <c r="C78" s="63"/>
      <c r="D78" s="69"/>
      <c r="E78" s="63"/>
      <c r="F78" s="63"/>
      <c r="G78" s="63"/>
      <c r="H78" s="66" t="str">
        <f aca="false">IF($D78="","",$D78-Targets!$C$8)</f>
        <v/>
      </c>
      <c r="I78" s="66" t="str">
        <f aca="false">IF($A78="","",IF($E78="","No","Yes"))</f>
        <v/>
      </c>
    </row>
    <row r="79" customFormat="false" ht="15" hidden="false" customHeight="true" outlineLevel="0" collapsed="false">
      <c r="A79" s="67"/>
      <c r="B79" s="67"/>
      <c r="C79" s="67"/>
      <c r="D79" s="70"/>
      <c r="E79" s="67"/>
      <c r="F79" s="67"/>
      <c r="G79" s="67"/>
      <c r="H79" s="66" t="str">
        <f aca="false">IF($D79="","",$D79-Targets!$C$8)</f>
        <v/>
      </c>
      <c r="I79" s="66" t="str">
        <f aca="false">IF($A79="","",IF($E79="","No","Yes"))</f>
        <v/>
      </c>
    </row>
    <row r="80" customFormat="false" ht="15" hidden="false" customHeight="true" outlineLevel="0" collapsed="false">
      <c r="A80" s="63"/>
      <c r="B80" s="63"/>
      <c r="C80" s="63"/>
      <c r="D80" s="69"/>
      <c r="E80" s="63"/>
      <c r="F80" s="63"/>
      <c r="G80" s="63"/>
      <c r="H80" s="66" t="str">
        <f aca="false">IF($D80="","",$D80-Targets!$C$8)</f>
        <v/>
      </c>
      <c r="I80" s="66" t="str">
        <f aca="false">IF($A80="","",IF($E80="","No","Yes"))</f>
        <v/>
      </c>
    </row>
    <row r="81" customFormat="false" ht="15" hidden="false" customHeight="true" outlineLevel="0" collapsed="false">
      <c r="A81" s="67"/>
      <c r="B81" s="67"/>
      <c r="C81" s="67"/>
      <c r="D81" s="70"/>
      <c r="E81" s="67"/>
      <c r="F81" s="67"/>
      <c r="G81" s="67"/>
      <c r="H81" s="66" t="str">
        <f aca="false">IF($D81="","",$D81-Targets!$C$8)</f>
        <v/>
      </c>
      <c r="I81" s="66" t="str">
        <f aca="false">IF($A81="","",IF($E81="","No","Yes"))</f>
        <v/>
      </c>
    </row>
    <row r="82" customFormat="false" ht="15" hidden="false" customHeight="true" outlineLevel="0" collapsed="false">
      <c r="A82" s="63"/>
      <c r="B82" s="63"/>
      <c r="C82" s="63"/>
      <c r="D82" s="69"/>
      <c r="E82" s="63"/>
      <c r="F82" s="63"/>
      <c r="G82" s="63"/>
      <c r="H82" s="66" t="str">
        <f aca="false">IF($D82="","",$D82-Targets!$C$8)</f>
        <v/>
      </c>
      <c r="I82" s="66" t="str">
        <f aca="false">IF($A82="","",IF($E82="","No","Yes"))</f>
        <v/>
      </c>
    </row>
    <row r="83" customFormat="false" ht="15" hidden="false" customHeight="true" outlineLevel="0" collapsed="false">
      <c r="A83" s="67"/>
      <c r="B83" s="67"/>
      <c r="C83" s="67"/>
      <c r="D83" s="70"/>
      <c r="E83" s="67"/>
      <c r="F83" s="67"/>
      <c r="G83" s="67"/>
      <c r="H83" s="66" t="str">
        <f aca="false">IF($D83="","",$D83-Targets!$C$8)</f>
        <v/>
      </c>
      <c r="I83" s="66" t="str">
        <f aca="false">IF($A83="","",IF($E83="","No","Yes"))</f>
        <v/>
      </c>
    </row>
    <row r="84" customFormat="false" ht="15" hidden="false" customHeight="true" outlineLevel="0" collapsed="false">
      <c r="A84" s="63"/>
      <c r="B84" s="63"/>
      <c r="C84" s="63"/>
      <c r="D84" s="69"/>
      <c r="E84" s="63"/>
      <c r="F84" s="63"/>
      <c r="G84" s="63"/>
      <c r="H84" s="66" t="str">
        <f aca="false">IF($D84="","",$D84-Targets!$C$8)</f>
        <v/>
      </c>
      <c r="I84" s="66" t="str">
        <f aca="false">IF($A84="","",IF($E84="","No","Yes"))</f>
        <v/>
      </c>
    </row>
    <row r="85" customFormat="false" ht="15" hidden="false" customHeight="true" outlineLevel="0" collapsed="false">
      <c r="A85" s="67"/>
      <c r="B85" s="67"/>
      <c r="C85" s="67"/>
      <c r="D85" s="70"/>
      <c r="E85" s="67"/>
      <c r="F85" s="67"/>
      <c r="G85" s="67"/>
      <c r="H85" s="66" t="str">
        <f aca="false">IF($D85="","",$D85-Targets!$C$8)</f>
        <v/>
      </c>
      <c r="I85" s="66" t="str">
        <f aca="false">IF($A85="","",IF($E85="","No","Yes"))</f>
        <v/>
      </c>
    </row>
    <row r="86" customFormat="false" ht="15" hidden="false" customHeight="true" outlineLevel="0" collapsed="false">
      <c r="A86" s="63"/>
      <c r="B86" s="63"/>
      <c r="C86" s="63"/>
      <c r="D86" s="69"/>
      <c r="E86" s="63"/>
      <c r="F86" s="63"/>
      <c r="G86" s="63"/>
      <c r="H86" s="66" t="str">
        <f aca="false">IF($D86="","",$D86-Targets!$C$8)</f>
        <v/>
      </c>
      <c r="I86" s="66" t="str">
        <f aca="false">IF($A86="","",IF($E86="","No","Yes"))</f>
        <v/>
      </c>
    </row>
    <row r="87" customFormat="false" ht="15" hidden="false" customHeight="true" outlineLevel="0" collapsed="false">
      <c r="A87" s="67"/>
      <c r="B87" s="67"/>
      <c r="C87" s="67"/>
      <c r="D87" s="70"/>
      <c r="E87" s="67"/>
      <c r="F87" s="67"/>
      <c r="G87" s="67"/>
      <c r="H87" s="66" t="str">
        <f aca="false">IF($D87="","",$D87-Targets!$C$8)</f>
        <v/>
      </c>
      <c r="I87" s="66" t="str">
        <f aca="false">IF($A87="","",IF($E87="","No","Yes"))</f>
        <v/>
      </c>
    </row>
    <row r="88" customFormat="false" ht="15" hidden="false" customHeight="true" outlineLevel="0" collapsed="false">
      <c r="A88" s="63"/>
      <c r="B88" s="63"/>
      <c r="C88" s="63"/>
      <c r="D88" s="69"/>
      <c r="E88" s="63"/>
      <c r="F88" s="63"/>
      <c r="G88" s="63"/>
      <c r="H88" s="66" t="str">
        <f aca="false">IF($D88="","",$D88-Targets!$C$8)</f>
        <v/>
      </c>
      <c r="I88" s="66" t="str">
        <f aca="false">IF($A88="","",IF($E88="","No","Yes"))</f>
        <v/>
      </c>
    </row>
    <row r="89" customFormat="false" ht="15" hidden="false" customHeight="true" outlineLevel="0" collapsed="false">
      <c r="A89" s="67"/>
      <c r="B89" s="67"/>
      <c r="C89" s="67"/>
      <c r="D89" s="70"/>
      <c r="E89" s="67"/>
      <c r="F89" s="67"/>
      <c r="G89" s="67"/>
      <c r="H89" s="66" t="str">
        <f aca="false">IF($D89="","",$D89-Targets!$C$8)</f>
        <v/>
      </c>
      <c r="I89" s="66" t="str">
        <f aca="false">IF($A89="","",IF($E89="","No","Yes"))</f>
        <v/>
      </c>
    </row>
    <row r="90" customFormat="false" ht="15" hidden="false" customHeight="true" outlineLevel="0" collapsed="false">
      <c r="A90" s="63"/>
      <c r="B90" s="63"/>
      <c r="C90" s="63"/>
      <c r="D90" s="69"/>
      <c r="E90" s="63"/>
      <c r="F90" s="63"/>
      <c r="G90" s="63"/>
      <c r="H90" s="66" t="str">
        <f aca="false">IF($D90="","",$D90-Targets!$C$8)</f>
        <v/>
      </c>
      <c r="I90" s="66" t="str">
        <f aca="false">IF($A90="","",IF($E90="","No","Yes"))</f>
        <v/>
      </c>
    </row>
    <row r="91" customFormat="false" ht="15" hidden="false" customHeight="true" outlineLevel="0" collapsed="false">
      <c r="A91" s="67"/>
      <c r="B91" s="67"/>
      <c r="C91" s="67"/>
      <c r="D91" s="70"/>
      <c r="E91" s="67"/>
      <c r="F91" s="67"/>
      <c r="G91" s="67"/>
      <c r="H91" s="66" t="str">
        <f aca="false">IF($D91="","",$D91-Targets!$C$8)</f>
        <v/>
      </c>
      <c r="I91" s="66" t="str">
        <f aca="false">IF($A91="","",IF($E91="","No","Yes"))</f>
        <v/>
      </c>
    </row>
    <row r="92" customFormat="false" ht="15" hidden="false" customHeight="true" outlineLevel="0" collapsed="false">
      <c r="A92" s="63"/>
      <c r="B92" s="63"/>
      <c r="C92" s="63"/>
      <c r="D92" s="69"/>
      <c r="E92" s="63"/>
      <c r="F92" s="63"/>
      <c r="G92" s="63"/>
      <c r="H92" s="66" t="str">
        <f aca="false">IF($D92="","",$D92-Targets!$C$8)</f>
        <v/>
      </c>
      <c r="I92" s="66" t="str">
        <f aca="false">IF($A92="","",IF($E92="","No","Yes"))</f>
        <v/>
      </c>
    </row>
    <row r="93" customFormat="false" ht="15" hidden="false" customHeight="true" outlineLevel="0" collapsed="false">
      <c r="A93" s="67"/>
      <c r="B93" s="67"/>
      <c r="C93" s="67"/>
      <c r="D93" s="70"/>
      <c r="E93" s="67"/>
      <c r="F93" s="67"/>
      <c r="G93" s="67"/>
      <c r="H93" s="66" t="str">
        <f aca="false">IF($D93="","",$D93-Targets!$C$8)</f>
        <v/>
      </c>
      <c r="I93" s="66" t="str">
        <f aca="false">IF($A93="","",IF($E93="","No","Yes"))</f>
        <v/>
      </c>
    </row>
    <row r="94" customFormat="false" ht="15" hidden="false" customHeight="true" outlineLevel="0" collapsed="false">
      <c r="A94" s="63"/>
      <c r="B94" s="63"/>
      <c r="C94" s="63"/>
      <c r="D94" s="69"/>
      <c r="E94" s="63"/>
      <c r="F94" s="63"/>
      <c r="G94" s="63"/>
      <c r="H94" s="66" t="str">
        <f aca="false">IF($D94="","",$D94-Targets!$C$8)</f>
        <v/>
      </c>
      <c r="I94" s="66" t="str">
        <f aca="false">IF($A94="","",IF($E94="","No","Yes"))</f>
        <v/>
      </c>
    </row>
    <row r="95" customFormat="false" ht="15" hidden="false" customHeight="true" outlineLevel="0" collapsed="false">
      <c r="A95" s="67"/>
      <c r="B95" s="67"/>
      <c r="C95" s="67"/>
      <c r="D95" s="70"/>
      <c r="E95" s="67"/>
      <c r="F95" s="67"/>
      <c r="G95" s="67"/>
      <c r="H95" s="66" t="str">
        <f aca="false">IF($D95="","",$D95-Targets!$C$8)</f>
        <v/>
      </c>
      <c r="I95" s="66" t="str">
        <f aca="false">IF($A95="","",IF($E95="","No","Yes"))</f>
        <v/>
      </c>
    </row>
    <row r="96" customFormat="false" ht="15" hidden="false" customHeight="true" outlineLevel="0" collapsed="false">
      <c r="A96" s="63"/>
      <c r="B96" s="63"/>
      <c r="C96" s="63"/>
      <c r="D96" s="69"/>
      <c r="E96" s="63"/>
      <c r="F96" s="63"/>
      <c r="G96" s="63"/>
      <c r="H96" s="66" t="str">
        <f aca="false">IF($D96="","",$D96-Targets!$C$8)</f>
        <v/>
      </c>
      <c r="I96" s="66" t="str">
        <f aca="false">IF($A96="","",IF($E96="","No","Yes"))</f>
        <v/>
      </c>
    </row>
    <row r="97" customFormat="false" ht="15" hidden="false" customHeight="true" outlineLevel="0" collapsed="false">
      <c r="A97" s="67"/>
      <c r="B97" s="67"/>
      <c r="C97" s="67"/>
      <c r="D97" s="70"/>
      <c r="E97" s="67"/>
      <c r="F97" s="67"/>
      <c r="G97" s="67"/>
      <c r="H97" s="66" t="str">
        <f aca="false">IF($D97="","",$D97-Targets!$C$8)</f>
        <v/>
      </c>
      <c r="I97" s="66" t="str">
        <f aca="false">IF($A97="","",IF($E97="","No","Yes"))</f>
        <v/>
      </c>
    </row>
    <row r="98" customFormat="false" ht="15" hidden="false" customHeight="true" outlineLevel="0" collapsed="false">
      <c r="A98" s="63"/>
      <c r="B98" s="63"/>
      <c r="C98" s="63"/>
      <c r="D98" s="69"/>
      <c r="E98" s="63"/>
      <c r="F98" s="63"/>
      <c r="G98" s="63"/>
      <c r="H98" s="66" t="str">
        <f aca="false">IF($D98="","",$D98-Targets!$C$8)</f>
        <v/>
      </c>
      <c r="I98" s="66" t="str">
        <f aca="false">IF($A98="","",IF($E98="","No","Yes"))</f>
        <v/>
      </c>
    </row>
    <row r="99" customFormat="false" ht="15" hidden="false" customHeight="true" outlineLevel="0" collapsed="false">
      <c r="A99" s="67"/>
      <c r="B99" s="67"/>
      <c r="C99" s="67"/>
      <c r="D99" s="70"/>
      <c r="E99" s="67"/>
      <c r="F99" s="67"/>
      <c r="G99" s="67"/>
      <c r="H99" s="66" t="str">
        <f aca="false">IF($D99="","",$D99-Targets!$C$8)</f>
        <v/>
      </c>
      <c r="I99" s="66" t="str">
        <f aca="false">IF($A99="","",IF($E99="","No","Yes"))</f>
        <v/>
      </c>
    </row>
    <row r="100" customFormat="false" ht="15" hidden="false" customHeight="true" outlineLevel="0" collapsed="false">
      <c r="A100" s="63"/>
      <c r="B100" s="63"/>
      <c r="C100" s="63"/>
      <c r="D100" s="69"/>
      <c r="E100" s="63"/>
      <c r="F100" s="63"/>
      <c r="G100" s="63"/>
      <c r="H100" s="66" t="str">
        <f aca="false">IF($D100="","",$D100-Targets!$C$8)</f>
        <v/>
      </c>
      <c r="I100" s="66" t="str">
        <f aca="false">IF($A100="","",IF($E100="","No","Yes"))</f>
        <v/>
      </c>
    </row>
    <row r="101" customFormat="false" ht="15" hidden="false" customHeight="true" outlineLevel="0" collapsed="false">
      <c r="A101" s="67"/>
      <c r="B101" s="67"/>
      <c r="C101" s="67"/>
      <c r="D101" s="70"/>
      <c r="E101" s="67"/>
      <c r="F101" s="67"/>
      <c r="G101" s="67"/>
      <c r="H101" s="66" t="str">
        <f aca="false">IF($D101="","",$D101-Targets!$C$8)</f>
        <v/>
      </c>
      <c r="I101" s="66" t="str">
        <f aca="false">IF($A101="","",IF($E101="","No","Yes"))</f>
        <v/>
      </c>
    </row>
    <row r="102" customFormat="false" ht="15" hidden="false" customHeight="true" outlineLevel="0" collapsed="false">
      <c r="A102" s="63"/>
      <c r="B102" s="63"/>
      <c r="C102" s="63"/>
      <c r="D102" s="69"/>
      <c r="E102" s="63"/>
      <c r="F102" s="63"/>
      <c r="G102" s="63"/>
      <c r="H102" s="66" t="str">
        <f aca="false">IF($D102="","",$D102-Targets!$C$8)</f>
        <v/>
      </c>
      <c r="I102" s="66" t="str">
        <f aca="false">IF($A102="","",IF($E102="","No","Yes"))</f>
        <v/>
      </c>
    </row>
    <row r="103" customFormat="false" ht="15" hidden="false" customHeight="true" outlineLevel="0" collapsed="false">
      <c r="A103" s="67"/>
      <c r="B103" s="67"/>
      <c r="C103" s="67"/>
      <c r="D103" s="70"/>
      <c r="E103" s="67"/>
      <c r="F103" s="67"/>
      <c r="G103" s="67"/>
      <c r="H103" s="66" t="str">
        <f aca="false">IF($D103="","",$D103-Targets!$C$8)</f>
        <v/>
      </c>
      <c r="I103" s="66" t="str">
        <f aca="false">IF($A103="","",IF($E103="","No","Yes"))</f>
        <v/>
      </c>
    </row>
    <row r="104" customFormat="false" ht="15" hidden="false" customHeight="true" outlineLevel="0" collapsed="false">
      <c r="A104" s="63"/>
      <c r="B104" s="63"/>
      <c r="C104" s="63"/>
      <c r="D104" s="69"/>
      <c r="E104" s="63"/>
      <c r="F104" s="63"/>
      <c r="G104" s="63"/>
      <c r="H104" s="66" t="str">
        <f aca="false">IF($D104="","",$D104-Targets!$C$8)</f>
        <v/>
      </c>
      <c r="I104" s="66" t="str">
        <f aca="false">IF($A104="","",IF($E104="","No","Yes"))</f>
        <v/>
      </c>
    </row>
    <row r="105" customFormat="false" ht="15" hidden="false" customHeight="true" outlineLevel="0" collapsed="false">
      <c r="A105" s="67"/>
      <c r="B105" s="67"/>
      <c r="C105" s="67"/>
      <c r="D105" s="70"/>
      <c r="E105" s="67"/>
      <c r="F105" s="67"/>
      <c r="G105" s="67"/>
      <c r="H105" s="66" t="str">
        <f aca="false">IF($D105="","",$D105-Targets!$C$8)</f>
        <v/>
      </c>
      <c r="I105" s="66" t="str">
        <f aca="false">IF($A105="","",IF($E105="","No","Yes"))</f>
        <v/>
      </c>
    </row>
    <row r="106" customFormat="false" ht="15" hidden="false" customHeight="true" outlineLevel="0" collapsed="false">
      <c r="A106" s="63"/>
      <c r="B106" s="63"/>
      <c r="C106" s="63"/>
      <c r="D106" s="69"/>
      <c r="E106" s="63"/>
      <c r="F106" s="63"/>
      <c r="G106" s="63"/>
      <c r="H106" s="66" t="str">
        <f aca="false">IF($D106="","",$D106-Targets!$C$8)</f>
        <v/>
      </c>
      <c r="I106" s="66" t="str">
        <f aca="false">IF($A106="","",IF($E106="","No","Yes"))</f>
        <v/>
      </c>
    </row>
    <row r="107" customFormat="false" ht="15" hidden="false" customHeight="true" outlineLevel="0" collapsed="false">
      <c r="A107" s="67"/>
      <c r="B107" s="67"/>
      <c r="C107" s="67"/>
      <c r="D107" s="70"/>
      <c r="E107" s="67"/>
      <c r="F107" s="67"/>
      <c r="G107" s="67"/>
      <c r="H107" s="66" t="str">
        <f aca="false">IF($D107="","",$D107-Targets!$C$8)</f>
        <v/>
      </c>
      <c r="I107" s="66" t="str">
        <f aca="false">IF($A107="","",IF($E107="","No","Yes"))</f>
        <v/>
      </c>
    </row>
    <row r="108" customFormat="false" ht="15" hidden="false" customHeight="true" outlineLevel="0" collapsed="false">
      <c r="A108" s="63"/>
      <c r="B108" s="63"/>
      <c r="C108" s="63"/>
      <c r="D108" s="69"/>
      <c r="E108" s="63"/>
      <c r="F108" s="63"/>
      <c r="G108" s="63"/>
      <c r="H108" s="66" t="str">
        <f aca="false">IF($D108="","",$D108-Targets!$C$8)</f>
        <v/>
      </c>
      <c r="I108" s="66" t="str">
        <f aca="false">IF($A108="","",IF($E108="","No","Yes"))</f>
        <v/>
      </c>
    </row>
    <row r="109" customFormat="false" ht="15" hidden="false" customHeight="true" outlineLevel="0" collapsed="false">
      <c r="A109" s="67"/>
      <c r="B109" s="67"/>
      <c r="C109" s="67"/>
      <c r="D109" s="70"/>
      <c r="E109" s="67"/>
      <c r="F109" s="67"/>
      <c r="G109" s="67"/>
      <c r="H109" s="66" t="str">
        <f aca="false">IF($D109="","",$D109-Targets!$C$8)</f>
        <v/>
      </c>
      <c r="I109" s="66" t="str">
        <f aca="false">IF($A109="","",IF($E109="","No","Yes"))</f>
        <v/>
      </c>
    </row>
    <row r="110" customFormat="false" ht="15" hidden="false" customHeight="true" outlineLevel="0" collapsed="false">
      <c r="A110" s="63"/>
      <c r="B110" s="63"/>
      <c r="C110" s="63"/>
      <c r="D110" s="69"/>
      <c r="E110" s="63"/>
      <c r="F110" s="63"/>
      <c r="G110" s="63"/>
      <c r="H110" s="66" t="str">
        <f aca="false">IF($D110="","",$D110-Targets!$C$8)</f>
        <v/>
      </c>
      <c r="I110" s="66" t="str">
        <f aca="false">IF($A110="","",IF($E110="","No","Yes"))</f>
        <v/>
      </c>
    </row>
    <row r="111" customFormat="false" ht="15" hidden="false" customHeight="true" outlineLevel="0" collapsed="false">
      <c r="A111" s="67"/>
      <c r="B111" s="67"/>
      <c r="C111" s="67"/>
      <c r="D111" s="70"/>
      <c r="E111" s="67"/>
      <c r="F111" s="67"/>
      <c r="G111" s="67"/>
      <c r="H111" s="66" t="str">
        <f aca="false">IF($D111="","",$D111-Targets!$C$8)</f>
        <v/>
      </c>
      <c r="I111" s="66" t="str">
        <f aca="false">IF($A111="","",IF($E111="","No","Yes"))</f>
        <v/>
      </c>
    </row>
    <row r="112" customFormat="false" ht="15" hidden="false" customHeight="true" outlineLevel="0" collapsed="false">
      <c r="A112" s="63"/>
      <c r="B112" s="63"/>
      <c r="C112" s="63"/>
      <c r="D112" s="69"/>
      <c r="E112" s="63"/>
      <c r="F112" s="63"/>
      <c r="G112" s="63"/>
      <c r="H112" s="66" t="str">
        <f aca="false">IF($D112="","",$D112-Targets!$C$8)</f>
        <v/>
      </c>
      <c r="I112" s="66" t="str">
        <f aca="false">IF($A112="","",IF($E112="","No","Yes"))</f>
        <v/>
      </c>
    </row>
    <row r="113" customFormat="false" ht="15" hidden="false" customHeight="true" outlineLevel="0" collapsed="false">
      <c r="A113" s="67"/>
      <c r="B113" s="67"/>
      <c r="C113" s="67"/>
      <c r="D113" s="70"/>
      <c r="E113" s="67"/>
      <c r="F113" s="67"/>
      <c r="G113" s="67"/>
      <c r="H113" s="66" t="str">
        <f aca="false">IF($D113="","",$D113-Targets!$C$8)</f>
        <v/>
      </c>
      <c r="I113" s="66" t="str">
        <f aca="false">IF($A113="","",IF($E113="","No","Yes"))</f>
        <v/>
      </c>
    </row>
    <row r="114" customFormat="false" ht="15" hidden="false" customHeight="true" outlineLevel="0" collapsed="false">
      <c r="A114" s="63"/>
      <c r="B114" s="63"/>
      <c r="C114" s="63"/>
      <c r="D114" s="69"/>
      <c r="E114" s="63"/>
      <c r="F114" s="63"/>
      <c r="G114" s="63"/>
      <c r="H114" s="66" t="str">
        <f aca="false">IF($D114="","",$D114-Targets!$C$8)</f>
        <v/>
      </c>
      <c r="I114" s="66" t="str">
        <f aca="false">IF($A114="","",IF($E114="","No","Yes"))</f>
        <v/>
      </c>
    </row>
    <row r="115" customFormat="false" ht="15" hidden="false" customHeight="true" outlineLevel="0" collapsed="false">
      <c r="A115" s="67"/>
      <c r="B115" s="67"/>
      <c r="C115" s="67"/>
      <c r="D115" s="70"/>
      <c r="E115" s="67"/>
      <c r="F115" s="67"/>
      <c r="G115" s="67"/>
      <c r="H115" s="66" t="str">
        <f aca="false">IF($D115="","",$D115-Targets!$C$8)</f>
        <v/>
      </c>
      <c r="I115" s="66" t="str">
        <f aca="false">IF($A115="","",IF($E115="","No","Yes"))</f>
        <v/>
      </c>
    </row>
    <row r="116" customFormat="false" ht="15" hidden="false" customHeight="true" outlineLevel="0" collapsed="false">
      <c r="A116" s="63"/>
      <c r="B116" s="63"/>
      <c r="C116" s="63"/>
      <c r="D116" s="69"/>
      <c r="E116" s="63"/>
      <c r="F116" s="63"/>
      <c r="G116" s="63"/>
      <c r="H116" s="66" t="str">
        <f aca="false">IF($D116="","",$D116-Targets!$C$8)</f>
        <v/>
      </c>
      <c r="I116" s="66" t="str">
        <f aca="false">IF($A116="","",IF($E116="","No","Yes"))</f>
        <v/>
      </c>
    </row>
    <row r="117" customFormat="false" ht="15" hidden="false" customHeight="true" outlineLevel="0" collapsed="false">
      <c r="A117" s="67"/>
      <c r="B117" s="67"/>
      <c r="C117" s="67"/>
      <c r="D117" s="70"/>
      <c r="E117" s="67"/>
      <c r="F117" s="67"/>
      <c r="G117" s="67"/>
      <c r="H117" s="66" t="str">
        <f aca="false">IF($D117="","",$D117-Targets!$C$8)</f>
        <v/>
      </c>
      <c r="I117" s="66" t="str">
        <f aca="false">IF($A117="","",IF($E117="","No","Yes"))</f>
        <v/>
      </c>
    </row>
    <row r="118" customFormat="false" ht="15" hidden="false" customHeight="true" outlineLevel="0" collapsed="false">
      <c r="A118" s="63"/>
      <c r="B118" s="63"/>
      <c r="C118" s="63"/>
      <c r="D118" s="69"/>
      <c r="E118" s="63"/>
      <c r="F118" s="63"/>
      <c r="G118" s="63"/>
      <c r="H118" s="66" t="str">
        <f aca="false">IF($D118="","",$D118-Targets!$C$8)</f>
        <v/>
      </c>
      <c r="I118" s="66" t="str">
        <f aca="false">IF($A118="","",IF($E118="","No","Yes"))</f>
        <v/>
      </c>
    </row>
    <row r="119" customFormat="false" ht="15" hidden="false" customHeight="true" outlineLevel="0" collapsed="false">
      <c r="A119" s="67"/>
      <c r="B119" s="67"/>
      <c r="C119" s="67"/>
      <c r="D119" s="70"/>
      <c r="E119" s="67"/>
      <c r="F119" s="67"/>
      <c r="G119" s="67"/>
      <c r="H119" s="66" t="str">
        <f aca="false">IF($D119="","",$D119-Targets!$C$8)</f>
        <v/>
      </c>
      <c r="I119" s="66" t="str">
        <f aca="false">IF($A119="","",IF($E119="","No","Yes"))</f>
        <v/>
      </c>
    </row>
    <row r="120" customFormat="false" ht="15" hidden="false" customHeight="true" outlineLevel="0" collapsed="false">
      <c r="A120" s="63"/>
      <c r="B120" s="63"/>
      <c r="C120" s="63"/>
      <c r="D120" s="69"/>
      <c r="E120" s="63"/>
      <c r="F120" s="63"/>
      <c r="G120" s="63"/>
      <c r="H120" s="66" t="str">
        <f aca="false">IF($D120="","",$D120-Targets!$C$8)</f>
        <v/>
      </c>
      <c r="I120" s="66" t="str">
        <f aca="false">IF($A120="","",IF($E120="","No","Yes"))</f>
        <v/>
      </c>
    </row>
    <row r="121" customFormat="false" ht="15" hidden="false" customHeight="true" outlineLevel="0" collapsed="false">
      <c r="A121" s="67"/>
      <c r="B121" s="67"/>
      <c r="C121" s="67"/>
      <c r="D121" s="70"/>
      <c r="E121" s="67"/>
      <c r="F121" s="67"/>
      <c r="G121" s="67"/>
      <c r="H121" s="66" t="str">
        <f aca="false">IF($D121="","",$D121-Targets!$C$8)</f>
        <v/>
      </c>
      <c r="I121" s="66" t="str">
        <f aca="false">IF($A121="","",IF($E121="","No","Yes"))</f>
        <v/>
      </c>
    </row>
    <row r="122" customFormat="false" ht="15" hidden="false" customHeight="true" outlineLevel="0" collapsed="false">
      <c r="A122" s="63"/>
      <c r="B122" s="63"/>
      <c r="C122" s="63"/>
      <c r="D122" s="69"/>
      <c r="E122" s="63"/>
      <c r="F122" s="63"/>
      <c r="G122" s="63"/>
      <c r="H122" s="66" t="str">
        <f aca="false">IF($D122="","",$D122-Targets!$C$8)</f>
        <v/>
      </c>
      <c r="I122" s="66" t="str">
        <f aca="false">IF($A122="","",IF($E122="","No","Yes"))</f>
        <v/>
      </c>
    </row>
    <row r="123" customFormat="false" ht="15" hidden="false" customHeight="true" outlineLevel="0" collapsed="false">
      <c r="A123" s="67"/>
      <c r="B123" s="67"/>
      <c r="C123" s="67"/>
      <c r="D123" s="70"/>
      <c r="E123" s="67"/>
      <c r="F123" s="67"/>
      <c r="G123" s="67"/>
      <c r="H123" s="66" t="str">
        <f aca="false">IF($D123="","",$D123-Targets!$C$8)</f>
        <v/>
      </c>
      <c r="I123" s="66" t="str">
        <f aca="false">IF($A123="","",IF($E123="","No","Yes"))</f>
        <v/>
      </c>
    </row>
    <row r="124" customFormat="false" ht="15" hidden="false" customHeight="true" outlineLevel="0" collapsed="false">
      <c r="A124" s="63"/>
      <c r="B124" s="63"/>
      <c r="C124" s="63"/>
      <c r="D124" s="69"/>
      <c r="E124" s="63"/>
      <c r="F124" s="63"/>
      <c r="G124" s="63"/>
      <c r="H124" s="66" t="str">
        <f aca="false">IF($D124="","",$D124-Targets!$C$8)</f>
        <v/>
      </c>
      <c r="I124" s="66" t="str">
        <f aca="false">IF($A124="","",IF($E124="","No","Yes"))</f>
        <v/>
      </c>
    </row>
    <row r="125" customFormat="false" ht="15" hidden="false" customHeight="true" outlineLevel="0" collapsed="false">
      <c r="A125" s="67"/>
      <c r="B125" s="67"/>
      <c r="C125" s="67"/>
      <c r="D125" s="70"/>
      <c r="E125" s="67"/>
      <c r="F125" s="67"/>
      <c r="G125" s="67"/>
      <c r="H125" s="66" t="str">
        <f aca="false">IF($D125="","",$D125-Targets!$C$8)</f>
        <v/>
      </c>
      <c r="I125" s="66" t="str">
        <f aca="false">IF($A125="","",IF($E125="","No","Yes"))</f>
        <v/>
      </c>
    </row>
    <row r="126" customFormat="false" ht="15" hidden="false" customHeight="true" outlineLevel="0" collapsed="false">
      <c r="A126" s="63"/>
      <c r="B126" s="63"/>
      <c r="C126" s="63"/>
      <c r="D126" s="69"/>
      <c r="E126" s="63"/>
      <c r="F126" s="63"/>
      <c r="G126" s="63"/>
      <c r="H126" s="66" t="str">
        <f aca="false">IF($D126="","",$D126-Targets!$C$8)</f>
        <v/>
      </c>
      <c r="I126" s="66" t="str">
        <f aca="false">IF($A126="","",IF($E126="","No","Yes"))</f>
        <v/>
      </c>
    </row>
    <row r="127" customFormat="false" ht="15" hidden="false" customHeight="true" outlineLevel="0" collapsed="false">
      <c r="A127" s="67"/>
      <c r="B127" s="67"/>
      <c r="C127" s="67"/>
      <c r="D127" s="70"/>
      <c r="E127" s="67"/>
      <c r="F127" s="67"/>
      <c r="G127" s="67"/>
      <c r="H127" s="66" t="str">
        <f aca="false">IF($D127="","",$D127-Targets!$C$8)</f>
        <v/>
      </c>
      <c r="I127" s="66" t="str">
        <f aca="false">IF($A127="","",IF($E127="","No","Yes"))</f>
        <v/>
      </c>
    </row>
    <row r="128" customFormat="false" ht="15" hidden="false" customHeight="true" outlineLevel="0" collapsed="false">
      <c r="A128" s="63"/>
      <c r="B128" s="63"/>
      <c r="C128" s="63"/>
      <c r="D128" s="69"/>
      <c r="E128" s="63"/>
      <c r="F128" s="63"/>
      <c r="G128" s="63"/>
      <c r="H128" s="66" t="str">
        <f aca="false">IF($D128="","",$D128-Targets!$C$8)</f>
        <v/>
      </c>
      <c r="I128" s="66" t="str">
        <f aca="false">IF($A128="","",IF($E128="","No","Yes"))</f>
        <v/>
      </c>
    </row>
    <row r="129" customFormat="false" ht="15" hidden="false" customHeight="true" outlineLevel="0" collapsed="false">
      <c r="A129" s="67"/>
      <c r="B129" s="67"/>
      <c r="C129" s="67"/>
      <c r="D129" s="70"/>
      <c r="E129" s="67"/>
      <c r="F129" s="67"/>
      <c r="G129" s="67"/>
      <c r="H129" s="66" t="str">
        <f aca="false">IF($D129="","",$D129-Targets!$C$8)</f>
        <v/>
      </c>
      <c r="I129" s="66" t="str">
        <f aca="false">IF($A129="","",IF($E129="","No","Yes"))</f>
        <v/>
      </c>
    </row>
    <row r="130" customFormat="false" ht="15" hidden="false" customHeight="true" outlineLevel="0" collapsed="false">
      <c r="A130" s="63"/>
      <c r="B130" s="63"/>
      <c r="C130" s="63"/>
      <c r="D130" s="69"/>
      <c r="E130" s="63"/>
      <c r="F130" s="63"/>
      <c r="G130" s="63"/>
      <c r="H130" s="66" t="str">
        <f aca="false">IF($D130="","",$D130-Targets!$C$8)</f>
        <v/>
      </c>
      <c r="I130" s="66" t="str">
        <f aca="false">IF($A130="","",IF($E130="","No","Yes"))</f>
        <v/>
      </c>
    </row>
    <row r="131" customFormat="false" ht="15" hidden="false" customHeight="true" outlineLevel="0" collapsed="false">
      <c r="A131" s="67"/>
      <c r="B131" s="67"/>
      <c r="C131" s="67"/>
      <c r="D131" s="70"/>
      <c r="E131" s="67"/>
      <c r="F131" s="67"/>
      <c r="G131" s="67"/>
      <c r="H131" s="66" t="str">
        <f aca="false">IF($D131="","",$D131-Targets!$C$8)</f>
        <v/>
      </c>
      <c r="I131" s="66" t="str">
        <f aca="false">IF($A131="","",IF($E131="","No","Yes"))</f>
        <v/>
      </c>
    </row>
    <row r="132" customFormat="false" ht="15" hidden="false" customHeight="true" outlineLevel="0" collapsed="false">
      <c r="A132" s="63"/>
      <c r="B132" s="63"/>
      <c r="C132" s="63"/>
      <c r="D132" s="69"/>
      <c r="E132" s="63"/>
      <c r="F132" s="63"/>
      <c r="G132" s="63"/>
      <c r="H132" s="66" t="str">
        <f aca="false">IF($D132="","",$D132-Targets!$C$8)</f>
        <v/>
      </c>
      <c r="I132" s="66" t="str">
        <f aca="false">IF($A132="","",IF($E132="","No","Yes"))</f>
        <v/>
      </c>
    </row>
    <row r="133" customFormat="false" ht="15" hidden="false" customHeight="true" outlineLevel="0" collapsed="false">
      <c r="A133" s="67"/>
      <c r="B133" s="67"/>
      <c r="C133" s="67"/>
      <c r="D133" s="70"/>
      <c r="E133" s="67"/>
      <c r="F133" s="67"/>
      <c r="G133" s="67"/>
      <c r="H133" s="66" t="str">
        <f aca="false">IF($D133="","",$D133-Targets!$C$8)</f>
        <v/>
      </c>
      <c r="I133" s="66" t="str">
        <f aca="false">IF($A133="","",IF($E133="","No","Yes"))</f>
        <v/>
      </c>
    </row>
    <row r="134" customFormat="false" ht="15" hidden="false" customHeight="true" outlineLevel="0" collapsed="false">
      <c r="A134" s="63"/>
      <c r="B134" s="63"/>
      <c r="C134" s="63"/>
      <c r="D134" s="69"/>
      <c r="E134" s="63"/>
      <c r="F134" s="63"/>
      <c r="G134" s="63"/>
      <c r="H134" s="66" t="str">
        <f aca="false">IF($D134="","",$D134-Targets!$C$8)</f>
        <v/>
      </c>
      <c r="I134" s="66" t="str">
        <f aca="false">IF($A134="","",IF($E134="","No","Yes"))</f>
        <v/>
      </c>
    </row>
    <row r="135" customFormat="false" ht="15" hidden="false" customHeight="true" outlineLevel="0" collapsed="false">
      <c r="A135" s="67"/>
      <c r="B135" s="67"/>
      <c r="C135" s="67"/>
      <c r="D135" s="70"/>
      <c r="E135" s="67"/>
      <c r="F135" s="67"/>
      <c r="G135" s="67"/>
      <c r="H135" s="66" t="str">
        <f aca="false">IF($D135="","",$D135-Targets!$C$8)</f>
        <v/>
      </c>
      <c r="I135" s="66" t="str">
        <f aca="false">IF($A135="","",IF($E135="","No","Yes"))</f>
        <v/>
      </c>
    </row>
    <row r="136" customFormat="false" ht="15" hidden="false" customHeight="true" outlineLevel="0" collapsed="false">
      <c r="A136" s="63"/>
      <c r="B136" s="63"/>
      <c r="C136" s="63"/>
      <c r="D136" s="69"/>
      <c r="E136" s="63"/>
      <c r="F136" s="63"/>
      <c r="G136" s="63"/>
      <c r="H136" s="66" t="str">
        <f aca="false">IF($D136="","",$D136-Targets!$C$8)</f>
        <v/>
      </c>
      <c r="I136" s="66" t="str">
        <f aca="false">IF($A136="","",IF($E136="","No","Yes"))</f>
        <v/>
      </c>
    </row>
    <row r="137" customFormat="false" ht="15" hidden="false" customHeight="true" outlineLevel="0" collapsed="false">
      <c r="A137" s="67"/>
      <c r="B137" s="67"/>
      <c r="C137" s="67"/>
      <c r="D137" s="70"/>
      <c r="E137" s="67"/>
      <c r="F137" s="67"/>
      <c r="G137" s="67"/>
      <c r="H137" s="66" t="str">
        <f aca="false">IF($D137="","",$D137-Targets!$C$8)</f>
        <v/>
      </c>
      <c r="I137" s="66" t="str">
        <f aca="false">IF($A137="","",IF($E137="","No","Yes"))</f>
        <v/>
      </c>
    </row>
    <row r="138" customFormat="false" ht="15" hidden="false" customHeight="true" outlineLevel="0" collapsed="false">
      <c r="A138" s="63"/>
      <c r="B138" s="63"/>
      <c r="C138" s="63"/>
      <c r="D138" s="69"/>
      <c r="E138" s="63"/>
      <c r="F138" s="63"/>
      <c r="G138" s="63"/>
      <c r="H138" s="66" t="str">
        <f aca="false">IF($D138="","",$D138-Targets!$C$8)</f>
        <v/>
      </c>
      <c r="I138" s="66" t="str">
        <f aca="false">IF($A138="","",IF($E138="","No","Yes"))</f>
        <v/>
      </c>
    </row>
    <row r="139" customFormat="false" ht="15" hidden="false" customHeight="true" outlineLevel="0" collapsed="false">
      <c r="A139" s="67"/>
      <c r="B139" s="67"/>
      <c r="C139" s="67"/>
      <c r="D139" s="70"/>
      <c r="E139" s="67"/>
      <c r="F139" s="67"/>
      <c r="G139" s="67"/>
      <c r="H139" s="66" t="str">
        <f aca="false">IF($D139="","",$D139-Targets!$C$8)</f>
        <v/>
      </c>
      <c r="I139" s="66" t="str">
        <f aca="false">IF($A139="","",IF($E139="","No","Yes"))</f>
        <v/>
      </c>
    </row>
    <row r="140" customFormat="false" ht="15" hidden="false" customHeight="true" outlineLevel="0" collapsed="false">
      <c r="A140" s="63"/>
      <c r="B140" s="63"/>
      <c r="C140" s="63"/>
      <c r="D140" s="69"/>
      <c r="E140" s="63"/>
      <c r="F140" s="63"/>
      <c r="G140" s="63"/>
      <c r="H140" s="66" t="str">
        <f aca="false">IF($D140="","",$D140-Targets!$C$8)</f>
        <v/>
      </c>
      <c r="I140" s="66" t="str">
        <f aca="false">IF($A140="","",IF($E140="","No","Yes"))</f>
        <v/>
      </c>
    </row>
    <row r="141" customFormat="false" ht="15" hidden="false" customHeight="true" outlineLevel="0" collapsed="false">
      <c r="A141" s="67"/>
      <c r="B141" s="67"/>
      <c r="C141" s="67"/>
      <c r="D141" s="70"/>
      <c r="E141" s="67"/>
      <c r="F141" s="67"/>
      <c r="G141" s="67"/>
      <c r="H141" s="66" t="str">
        <f aca="false">IF($D141="","",$D141-Targets!$C$8)</f>
        <v/>
      </c>
      <c r="I141" s="66" t="str">
        <f aca="false">IF($A141="","",IF($E141="","No","Yes"))</f>
        <v/>
      </c>
    </row>
    <row r="142" customFormat="false" ht="15" hidden="false" customHeight="true" outlineLevel="0" collapsed="false">
      <c r="A142" s="63"/>
      <c r="B142" s="63"/>
      <c r="C142" s="63"/>
      <c r="D142" s="69"/>
      <c r="E142" s="63"/>
      <c r="F142" s="63"/>
      <c r="G142" s="63"/>
      <c r="H142" s="66" t="str">
        <f aca="false">IF($D142="","",$D142-Targets!$C$8)</f>
        <v/>
      </c>
      <c r="I142" s="66" t="str">
        <f aca="false">IF($A142="","",IF($E142="","No","Yes"))</f>
        <v/>
      </c>
    </row>
    <row r="143" customFormat="false" ht="15" hidden="false" customHeight="true" outlineLevel="0" collapsed="false">
      <c r="A143" s="67"/>
      <c r="B143" s="67"/>
      <c r="C143" s="67"/>
      <c r="D143" s="70"/>
      <c r="E143" s="67"/>
      <c r="F143" s="67"/>
      <c r="G143" s="67"/>
      <c r="H143" s="66" t="str">
        <f aca="false">IF($D143="","",$D143-Targets!$C$8)</f>
        <v/>
      </c>
      <c r="I143" s="66" t="str">
        <f aca="false">IF($A143="","",IF($E143="","No","Yes"))</f>
        <v/>
      </c>
    </row>
    <row r="144" customFormat="false" ht="15" hidden="false" customHeight="true" outlineLevel="0" collapsed="false">
      <c r="A144" s="63"/>
      <c r="B144" s="63"/>
      <c r="C144" s="63"/>
      <c r="D144" s="69"/>
      <c r="E144" s="63"/>
      <c r="F144" s="63"/>
      <c r="G144" s="63"/>
      <c r="H144" s="66" t="str">
        <f aca="false">IF($D144="","",$D144-Targets!$C$8)</f>
        <v/>
      </c>
      <c r="I144" s="66" t="str">
        <f aca="false">IF($A144="","",IF($E144="","No","Yes"))</f>
        <v/>
      </c>
    </row>
    <row r="145" customFormat="false" ht="15" hidden="false" customHeight="true" outlineLevel="0" collapsed="false">
      <c r="A145" s="67"/>
      <c r="B145" s="67"/>
      <c r="C145" s="67"/>
      <c r="D145" s="70"/>
      <c r="E145" s="67"/>
      <c r="F145" s="67"/>
      <c r="G145" s="67"/>
      <c r="H145" s="66" t="str">
        <f aca="false">IF($D145="","",$D145-Targets!$C$8)</f>
        <v/>
      </c>
      <c r="I145" s="66" t="str">
        <f aca="false">IF($A145="","",IF($E145="","No","Yes"))</f>
        <v/>
      </c>
    </row>
    <row r="146" customFormat="false" ht="15" hidden="false" customHeight="true" outlineLevel="0" collapsed="false">
      <c r="A146" s="63"/>
      <c r="B146" s="63"/>
      <c r="C146" s="63"/>
      <c r="D146" s="69"/>
      <c r="E146" s="63"/>
      <c r="F146" s="63"/>
      <c r="G146" s="63"/>
      <c r="H146" s="66" t="str">
        <f aca="false">IF($D146="","",$D146-Targets!$C$8)</f>
        <v/>
      </c>
      <c r="I146" s="66" t="str">
        <f aca="false">IF($A146="","",IF($E146="","No","Yes"))</f>
        <v/>
      </c>
    </row>
    <row r="147" customFormat="false" ht="15" hidden="false" customHeight="true" outlineLevel="0" collapsed="false">
      <c r="A147" s="67"/>
      <c r="B147" s="67"/>
      <c r="C147" s="67"/>
      <c r="D147" s="70"/>
      <c r="E147" s="67"/>
      <c r="F147" s="67"/>
      <c r="G147" s="67"/>
      <c r="H147" s="66" t="str">
        <f aca="false">IF($D147="","",$D147-Targets!$C$8)</f>
        <v/>
      </c>
      <c r="I147" s="66" t="str">
        <f aca="false">IF($A147="","",IF($E147="","No","Yes"))</f>
        <v/>
      </c>
    </row>
    <row r="148" customFormat="false" ht="15" hidden="false" customHeight="true" outlineLevel="0" collapsed="false">
      <c r="A148" s="63"/>
      <c r="B148" s="63"/>
      <c r="C148" s="63"/>
      <c r="D148" s="69"/>
      <c r="E148" s="63"/>
      <c r="F148" s="63"/>
      <c r="G148" s="63"/>
      <c r="H148" s="66" t="str">
        <f aca="false">IF($D148="","",$D148-Targets!$C$8)</f>
        <v/>
      </c>
      <c r="I148" s="66" t="str">
        <f aca="false">IF($A148="","",IF($E148="","No","Yes"))</f>
        <v/>
      </c>
    </row>
    <row r="149" customFormat="false" ht="15" hidden="false" customHeight="true" outlineLevel="0" collapsed="false">
      <c r="A149" s="67"/>
      <c r="B149" s="67"/>
      <c r="C149" s="67"/>
      <c r="D149" s="70"/>
      <c r="E149" s="67"/>
      <c r="F149" s="67"/>
      <c r="G149" s="67"/>
      <c r="H149" s="66" t="str">
        <f aca="false">IF($D149="","",$D149-Targets!$C$8)</f>
        <v/>
      </c>
      <c r="I149" s="66" t="str">
        <f aca="false">IF($A149="","",IF($E149="","No","Yes"))</f>
        <v/>
      </c>
    </row>
    <row r="150" customFormat="false" ht="15" hidden="false" customHeight="true" outlineLevel="0" collapsed="false">
      <c r="A150" s="63"/>
      <c r="B150" s="63"/>
      <c r="C150" s="63"/>
      <c r="D150" s="69"/>
      <c r="E150" s="63"/>
      <c r="F150" s="63"/>
      <c r="G150" s="63"/>
      <c r="H150" s="66" t="str">
        <f aca="false">IF($D150="","",$D150-Targets!$C$8)</f>
        <v/>
      </c>
      <c r="I150" s="66" t="str">
        <f aca="false">IF($A150="","",IF($E150="","No","Yes"))</f>
        <v/>
      </c>
    </row>
    <row r="151" customFormat="false" ht="15" hidden="false" customHeight="true" outlineLevel="0" collapsed="false">
      <c r="A151" s="67"/>
      <c r="B151" s="67"/>
      <c r="C151" s="67"/>
      <c r="D151" s="70"/>
      <c r="E151" s="67"/>
      <c r="F151" s="67"/>
      <c r="G151" s="67"/>
      <c r="H151" s="66" t="str">
        <f aca="false">IF($D151="","",$D151-Targets!$C$8)</f>
        <v/>
      </c>
      <c r="I151" s="66" t="str">
        <f aca="false">IF($A151="","",IF($E151="","No","Yes"))</f>
        <v/>
      </c>
    </row>
    <row r="152" customFormat="false" ht="15" hidden="false" customHeight="true" outlineLevel="0" collapsed="false">
      <c r="A152" s="63"/>
      <c r="B152" s="63"/>
      <c r="C152" s="63"/>
      <c r="D152" s="69"/>
      <c r="E152" s="63"/>
      <c r="F152" s="63"/>
      <c r="G152" s="63"/>
      <c r="H152" s="66" t="str">
        <f aca="false">IF($D152="","",$D152-Targets!$C$8)</f>
        <v/>
      </c>
      <c r="I152" s="66" t="str">
        <f aca="false">IF($A152="","",IF($E152="","No","Yes"))</f>
        <v/>
      </c>
    </row>
    <row r="153" customFormat="false" ht="15" hidden="false" customHeight="true" outlineLevel="0" collapsed="false">
      <c r="A153" s="67"/>
      <c r="B153" s="67"/>
      <c r="C153" s="67"/>
      <c r="D153" s="70"/>
      <c r="E153" s="67"/>
      <c r="F153" s="67"/>
      <c r="G153" s="67"/>
      <c r="H153" s="66" t="str">
        <f aca="false">IF($D153="","",$D153-Targets!$C$8)</f>
        <v/>
      </c>
      <c r="I153" s="66" t="str">
        <f aca="false">IF($A153="","",IF($E153="","No","Yes"))</f>
        <v/>
      </c>
    </row>
    <row r="154" customFormat="false" ht="15" hidden="false" customHeight="true" outlineLevel="0" collapsed="false">
      <c r="A154" s="63"/>
      <c r="B154" s="63"/>
      <c r="C154" s="63"/>
      <c r="D154" s="69"/>
      <c r="E154" s="63"/>
      <c r="F154" s="63"/>
      <c r="G154" s="63"/>
      <c r="H154" s="66" t="str">
        <f aca="false">IF($D154="","",$D154-Targets!$C$8)</f>
        <v/>
      </c>
      <c r="I154" s="66" t="str">
        <f aca="false">IF($A154="","",IF($E154="","No","Yes"))</f>
        <v/>
      </c>
    </row>
  </sheetData>
  <conditionalFormatting sqref="F6:F154">
    <cfRule type="cellIs" priority="2" operator="equal" aboveAverage="0" equalAverage="0" bottom="0" percent="0" rank="0" text="" dxfId="10">
      <formula>"At risk"</formula>
    </cfRule>
    <cfRule type="cellIs" priority="3" operator="equal" aboveAverage="0" equalAverage="0" bottom="0" percent="0" rank="0" text="" dxfId="7">
      <formula>"Missed"</formula>
    </cfRule>
  </conditionalFormatting>
  <conditionalFormatting sqref="I6:I154">
    <cfRule type="cellIs" priority="4" operator="equal" aboveAverage="0" equalAverage="0" bottom="0" percent="0" rank="0" text="" dxfId="7">
      <formula>"No"</formula>
    </cfRule>
  </conditionalFormatting>
  <dataValidations count="1">
    <dataValidation allowBlank="true" errorStyle="stop" operator="between" showDropDown="false" showErrorMessage="false" showInputMessage="false" sqref="F6:F154" type="list">
      <formula1>"On track,At risk,Missed"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B5563"/>
    <pageSetUpPr fitToPage="true"/>
  </sheetPr>
  <dimension ref="A1:L1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1"/>
    <col collapsed="false" customWidth="true" hidden="false" outlineLevel="0" max="2" min="2" style="1" width="26"/>
    <col collapsed="false" customWidth="true" hidden="false" outlineLevel="0" max="3" min="3" style="1" width="27"/>
    <col collapsed="false" customWidth="true" hidden="false" outlineLevel="0" max="4" min="4" style="1" width="16"/>
    <col collapsed="false" customWidth="true" hidden="false" outlineLevel="0" max="5" min="5" style="1" width="24"/>
    <col collapsed="false" customWidth="true" hidden="false" outlineLevel="0" max="6" min="6" style="1" width="14"/>
    <col collapsed="false" customWidth="true" hidden="false" outlineLevel="0" max="7" min="7" style="1" width="18"/>
    <col collapsed="false" customWidth="true" hidden="false" outlineLevel="0" max="9" min="9" style="1" width="3"/>
    <col collapsed="false" customWidth="true" hidden="false" outlineLevel="0" max="10" min="10" style="1" width="15"/>
    <col collapsed="false" customWidth="true" hidden="false" outlineLevel="0" max="11" min="11" style="1" width="16"/>
    <col collapsed="false" customWidth="true" hidden="false" outlineLevel="0" max="12" min="12" style="1" width="44"/>
  </cols>
  <sheetData>
    <row r="1" customFormat="false" ht="21.75" hidden="false" customHeight="true" outlineLevel="0" collapsed="false">
      <c r="A1" s="31" t="s">
        <v>42</v>
      </c>
    </row>
    <row r="2" customFormat="false" ht="15" hidden="false" customHeight="true" outlineLevel="0" collapsed="false">
      <c r="A2" s="32" t="s">
        <v>1290</v>
      </c>
    </row>
    <row r="3" customFormat="false" ht="15" hidden="false" customHeight="true" outlineLevel="0" collapsed="false">
      <c r="A3" s="60" t="s">
        <v>1291</v>
      </c>
      <c r="J3" s="2" t="s">
        <v>1292</v>
      </c>
    </row>
    <row r="4" customFormat="false" ht="15" hidden="false" customHeight="true" outlineLevel="0" collapsed="false">
      <c r="A4" s="30" t="s">
        <v>161</v>
      </c>
      <c r="F4" s="61" t="s">
        <v>162</v>
      </c>
    </row>
    <row r="5" customFormat="false" ht="30" hidden="false" customHeight="true" outlineLevel="0" collapsed="false">
      <c r="A5" s="8" t="s">
        <v>425</v>
      </c>
      <c r="B5" s="8" t="s">
        <v>1293</v>
      </c>
      <c r="C5" s="8" t="s">
        <v>427</v>
      </c>
      <c r="D5" s="8" t="s">
        <v>1294</v>
      </c>
      <c r="E5" s="8" t="s">
        <v>1295</v>
      </c>
      <c r="F5" s="50" t="s">
        <v>1296</v>
      </c>
      <c r="G5" s="50" t="s">
        <v>1297</v>
      </c>
      <c r="J5" s="71" t="s">
        <v>1298</v>
      </c>
      <c r="K5" s="72" t="s">
        <v>1299</v>
      </c>
      <c r="L5" s="71" t="s">
        <v>176</v>
      </c>
    </row>
    <row r="6" customFormat="false" ht="15" hidden="false" customHeight="true" outlineLevel="0" collapsed="false">
      <c r="A6" s="63" t="s">
        <v>941</v>
      </c>
      <c r="B6" s="63" t="s">
        <v>1300</v>
      </c>
      <c r="C6" s="63" t="s">
        <v>459</v>
      </c>
      <c r="D6" s="73" t="n">
        <v>25000</v>
      </c>
      <c r="E6" s="73" t="n">
        <v>3600</v>
      </c>
      <c r="F6" s="74" t="n">
        <f aca="false">IF($A6="","",$D6+$E6)</f>
        <v>28600</v>
      </c>
      <c r="G6" s="66" t="s">
        <v>121</v>
      </c>
      <c r="J6" s="75" t="s">
        <v>1301</v>
      </c>
      <c r="K6" s="76" t="n">
        <v>280000</v>
      </c>
      <c r="L6" s="75"/>
    </row>
    <row r="7" customFormat="false" ht="15" hidden="false" customHeight="true" outlineLevel="0" collapsed="false">
      <c r="A7" s="67" t="s">
        <v>412</v>
      </c>
      <c r="B7" s="67" t="s">
        <v>1302</v>
      </c>
      <c r="C7" s="67" t="s">
        <v>454</v>
      </c>
      <c r="D7" s="77" t="n">
        <v>5500</v>
      </c>
      <c r="E7" s="77" t="n">
        <v>800</v>
      </c>
      <c r="F7" s="74" t="n">
        <f aca="false">IF($A7="","",$D7+$E7)</f>
        <v>6300</v>
      </c>
      <c r="G7" s="66" t="s">
        <v>365</v>
      </c>
      <c r="J7" s="67" t="s">
        <v>1303</v>
      </c>
      <c r="K7" s="77" t="n">
        <v>300000</v>
      </c>
      <c r="L7" s="67"/>
    </row>
    <row r="8" customFormat="false" ht="15" hidden="false" customHeight="true" outlineLevel="0" collapsed="false">
      <c r="A8" s="63" t="s">
        <v>758</v>
      </c>
      <c r="B8" s="63" t="s">
        <v>1302</v>
      </c>
      <c r="C8" s="63" t="s">
        <v>454</v>
      </c>
      <c r="D8" s="73" t="n">
        <v>51800</v>
      </c>
      <c r="E8" s="73" t="n">
        <v>7400</v>
      </c>
      <c r="F8" s="74" t="n">
        <f aca="false">IF($A8="","",$D8+$E8)</f>
        <v>59200</v>
      </c>
      <c r="G8" s="66" t="s">
        <v>365</v>
      </c>
      <c r="J8" s="75" t="s">
        <v>1304</v>
      </c>
      <c r="K8" s="76" t="n">
        <v>340000</v>
      </c>
      <c r="L8" s="75"/>
    </row>
    <row r="9" customFormat="false" ht="15" hidden="false" customHeight="true" outlineLevel="0" collapsed="false">
      <c r="A9" s="67" t="s">
        <v>818</v>
      </c>
      <c r="B9" s="67" t="s">
        <v>1302</v>
      </c>
      <c r="C9" s="67" t="s">
        <v>465</v>
      </c>
      <c r="D9" s="77" t="n">
        <v>59100</v>
      </c>
      <c r="E9" s="77" t="n">
        <v>8400</v>
      </c>
      <c r="F9" s="74" t="n">
        <f aca="false">IF($A9="","",$D9+$E9)</f>
        <v>67500</v>
      </c>
      <c r="G9" s="66" t="s">
        <v>365</v>
      </c>
      <c r="J9" s="67" t="s">
        <v>1305</v>
      </c>
      <c r="K9" s="77" t="n">
        <v>330000</v>
      </c>
      <c r="L9" s="67"/>
    </row>
    <row r="10" customFormat="false" ht="15" hidden="false" customHeight="true" outlineLevel="0" collapsed="false">
      <c r="A10" s="63" t="s">
        <v>493</v>
      </c>
      <c r="B10" s="63" t="s">
        <v>1306</v>
      </c>
      <c r="C10" s="63" t="s">
        <v>446</v>
      </c>
      <c r="D10" s="73" t="n">
        <v>22600</v>
      </c>
      <c r="E10" s="73" t="n">
        <v>3200</v>
      </c>
      <c r="F10" s="74" t="n">
        <f aca="false">IF($A10="","",$D10+$E10)</f>
        <v>25800</v>
      </c>
      <c r="G10" s="66" t="s">
        <v>365</v>
      </c>
      <c r="J10" s="75" t="s">
        <v>1307</v>
      </c>
      <c r="K10" s="76" t="n">
        <v>350000</v>
      </c>
      <c r="L10" s="75"/>
    </row>
    <row r="11" customFormat="false" ht="15" hidden="false" customHeight="true" outlineLevel="0" collapsed="false">
      <c r="A11" s="67" t="s">
        <v>361</v>
      </c>
      <c r="B11" s="67" t="s">
        <v>1302</v>
      </c>
      <c r="C11" s="67" t="s">
        <v>465</v>
      </c>
      <c r="D11" s="77" t="n">
        <v>53600</v>
      </c>
      <c r="E11" s="77" t="n">
        <v>7700</v>
      </c>
      <c r="F11" s="74" t="n">
        <f aca="false">IF($A11="","",$D11+$E11)</f>
        <v>61300</v>
      </c>
      <c r="G11" s="66" t="s">
        <v>365</v>
      </c>
      <c r="J11" s="67" t="s">
        <v>1308</v>
      </c>
      <c r="K11" s="77" t="n">
        <v>360000</v>
      </c>
      <c r="L11" s="67"/>
    </row>
    <row r="12" customFormat="false" ht="15" hidden="false" customHeight="true" outlineLevel="0" collapsed="false">
      <c r="A12" s="63" t="s">
        <v>1009</v>
      </c>
      <c r="B12" s="63" t="s">
        <v>1306</v>
      </c>
      <c r="C12" s="63" t="s">
        <v>465</v>
      </c>
      <c r="D12" s="73" t="n">
        <v>48800</v>
      </c>
      <c r="E12" s="73" t="n">
        <v>7000</v>
      </c>
      <c r="F12" s="74" t="n">
        <f aca="false">IF($A12="","",$D12+$E12)</f>
        <v>55800</v>
      </c>
      <c r="G12" s="66" t="s">
        <v>365</v>
      </c>
      <c r="J12" s="75" t="s">
        <v>1309</v>
      </c>
      <c r="K12" s="76" t="n">
        <v>340000</v>
      </c>
      <c r="L12" s="75"/>
    </row>
    <row r="13" customFormat="false" ht="15" hidden="false" customHeight="true" outlineLevel="0" collapsed="false">
      <c r="A13" s="67" t="s">
        <v>284</v>
      </c>
      <c r="B13" s="67" t="s">
        <v>1302</v>
      </c>
      <c r="C13" s="67" t="s">
        <v>454</v>
      </c>
      <c r="D13" s="77" t="n">
        <v>28000</v>
      </c>
      <c r="E13" s="77" t="n">
        <v>4000</v>
      </c>
      <c r="F13" s="74" t="n">
        <f aca="false">IF($A13="","",$D13+$E13)</f>
        <v>32000</v>
      </c>
      <c r="G13" s="66" t="s">
        <v>365</v>
      </c>
      <c r="J13" s="67" t="s">
        <v>1310</v>
      </c>
      <c r="K13" s="77" t="n">
        <v>350000</v>
      </c>
      <c r="L13" s="67"/>
    </row>
    <row r="14" customFormat="false" ht="15" hidden="false" customHeight="true" outlineLevel="0" collapsed="false">
      <c r="A14" s="63" t="s">
        <v>1135</v>
      </c>
      <c r="B14" s="63" t="s">
        <v>1300</v>
      </c>
      <c r="C14" s="63" t="s">
        <v>501</v>
      </c>
      <c r="D14" s="73" t="n">
        <v>5500</v>
      </c>
      <c r="E14" s="73" t="n">
        <v>800</v>
      </c>
      <c r="F14" s="74" t="n">
        <f aca="false">IF($A14="","",$D14+$E14)</f>
        <v>6300</v>
      </c>
      <c r="G14" s="66" t="s">
        <v>365</v>
      </c>
      <c r="J14" s="75" t="s">
        <v>1311</v>
      </c>
      <c r="K14" s="76" t="n">
        <v>340000</v>
      </c>
      <c r="L14" s="75"/>
    </row>
    <row r="15" customFormat="false" ht="15" hidden="false" customHeight="true" outlineLevel="0" collapsed="false">
      <c r="A15" s="67" t="s">
        <v>1112</v>
      </c>
      <c r="B15" s="67" t="s">
        <v>1312</v>
      </c>
      <c r="C15" s="67" t="s">
        <v>459</v>
      </c>
      <c r="D15" s="77" t="n">
        <v>78000</v>
      </c>
      <c r="E15" s="77" t="n">
        <v>11100</v>
      </c>
      <c r="F15" s="74" t="n">
        <f aca="false">IF($A15="","",$D15+$E15)</f>
        <v>89100</v>
      </c>
      <c r="G15" s="66" t="s">
        <v>365</v>
      </c>
      <c r="J15" s="67" t="s">
        <v>1313</v>
      </c>
      <c r="K15" s="77" t="n">
        <v>350000</v>
      </c>
      <c r="L15" s="67"/>
    </row>
    <row r="16" customFormat="false" ht="15" hidden="false" customHeight="true" outlineLevel="0" collapsed="false">
      <c r="A16" s="63" t="s">
        <v>1137</v>
      </c>
      <c r="B16" s="63" t="s">
        <v>1302</v>
      </c>
      <c r="C16" s="63" t="s">
        <v>647</v>
      </c>
      <c r="D16" s="73" t="n">
        <v>15200</v>
      </c>
      <c r="E16" s="73" t="n">
        <v>2200</v>
      </c>
      <c r="F16" s="74" t="n">
        <f aca="false">IF($A16="","",$D16+$E16)</f>
        <v>17400</v>
      </c>
      <c r="G16" s="66" t="s">
        <v>365</v>
      </c>
      <c r="J16" s="75" t="s">
        <v>1314</v>
      </c>
      <c r="K16" s="76" t="n">
        <v>340000</v>
      </c>
      <c r="L16" s="75"/>
    </row>
    <row r="17" customFormat="false" ht="15" hidden="false" customHeight="true" outlineLevel="0" collapsed="false">
      <c r="A17" s="67" t="s">
        <v>363</v>
      </c>
      <c r="B17" s="67" t="s">
        <v>1300</v>
      </c>
      <c r="C17" s="67" t="s">
        <v>647</v>
      </c>
      <c r="D17" s="77" t="n">
        <v>84700</v>
      </c>
      <c r="E17" s="77" t="n">
        <v>12100</v>
      </c>
      <c r="F17" s="74" t="n">
        <f aca="false">IF($A17="","",$D17+$E17)</f>
        <v>96800</v>
      </c>
      <c r="G17" s="66" t="s">
        <v>121</v>
      </c>
      <c r="J17" s="67" t="s">
        <v>1315</v>
      </c>
      <c r="K17" s="77" t="n">
        <v>320000</v>
      </c>
      <c r="L17" s="67"/>
    </row>
    <row r="18" customFormat="false" ht="25.5" hidden="false" customHeight="true" outlineLevel="0" collapsed="false">
      <c r="A18" s="63" t="s">
        <v>574</v>
      </c>
      <c r="B18" s="63" t="s">
        <v>1316</v>
      </c>
      <c r="C18" s="63" t="s">
        <v>454</v>
      </c>
      <c r="D18" s="73" t="n">
        <v>19500</v>
      </c>
      <c r="E18" s="73" t="n">
        <v>2800</v>
      </c>
      <c r="F18" s="74" t="n">
        <f aca="false">IF($A18="","",$D18+$E18)</f>
        <v>22300</v>
      </c>
      <c r="G18" s="66" t="s">
        <v>365</v>
      </c>
      <c r="J18" s="78" t="s">
        <v>1317</v>
      </c>
      <c r="K18" s="79" t="n">
        <f aca="false">SUM($K$6:$K$17)</f>
        <v>4000000</v>
      </c>
      <c r="L18" s="80" t="s">
        <v>1318</v>
      </c>
    </row>
    <row r="19" customFormat="false" ht="15" hidden="false" customHeight="true" outlineLevel="0" collapsed="false">
      <c r="A19" s="67" t="s">
        <v>739</v>
      </c>
      <c r="B19" s="67" t="s">
        <v>1302</v>
      </c>
      <c r="C19" s="67" t="s">
        <v>446</v>
      </c>
      <c r="D19" s="77" t="n">
        <v>48800</v>
      </c>
      <c r="E19" s="77" t="n">
        <v>7000</v>
      </c>
      <c r="F19" s="74" t="n">
        <f aca="false">IF($A19="","",$D19+$E19)</f>
        <v>55800</v>
      </c>
      <c r="G19" s="66" t="s">
        <v>365</v>
      </c>
    </row>
    <row r="20" customFormat="false" ht="25.5" hidden="false" customHeight="true" outlineLevel="0" collapsed="false">
      <c r="A20" s="63" t="s">
        <v>766</v>
      </c>
      <c r="B20" s="63" t="s">
        <v>1319</v>
      </c>
      <c r="C20" s="63" t="s">
        <v>487</v>
      </c>
      <c r="D20" s="73" t="n">
        <v>4900</v>
      </c>
      <c r="E20" s="73" t="n">
        <v>700</v>
      </c>
      <c r="F20" s="74" t="n">
        <f aca="false">IF($A20="","",$D20+$E20)</f>
        <v>5600</v>
      </c>
      <c r="G20" s="66" t="s">
        <v>365</v>
      </c>
      <c r="J20" s="81" t="s">
        <v>1320</v>
      </c>
      <c r="K20" s="82" t="n">
        <v>80000</v>
      </c>
      <c r="L20" s="83" t="s">
        <v>1321</v>
      </c>
    </row>
    <row r="21" customFormat="false" ht="15" hidden="false" customHeight="true" outlineLevel="0" collapsed="false">
      <c r="A21" s="67" t="s">
        <v>520</v>
      </c>
      <c r="B21" s="67" t="s">
        <v>1302</v>
      </c>
      <c r="C21" s="67" t="s">
        <v>465</v>
      </c>
      <c r="D21" s="77" t="n">
        <v>22600</v>
      </c>
      <c r="E21" s="77" t="n">
        <v>3200</v>
      </c>
      <c r="F21" s="74" t="n">
        <f aca="false">IF($A21="","",$D21+$E21)</f>
        <v>25800</v>
      </c>
      <c r="G21" s="66" t="s">
        <v>365</v>
      </c>
    </row>
    <row r="22" customFormat="false" ht="15" hidden="false" customHeight="true" outlineLevel="0" collapsed="false">
      <c r="A22" s="63" t="s">
        <v>1108</v>
      </c>
      <c r="B22" s="63" t="s">
        <v>1316</v>
      </c>
      <c r="C22" s="63" t="s">
        <v>446</v>
      </c>
      <c r="D22" s="73" t="n">
        <v>11000</v>
      </c>
      <c r="E22" s="73" t="n">
        <v>1600</v>
      </c>
      <c r="F22" s="74" t="n">
        <f aca="false">IF($A22="","",$D22+$E22)</f>
        <v>12600</v>
      </c>
      <c r="G22" s="66" t="s">
        <v>365</v>
      </c>
    </row>
    <row r="23" customFormat="false" ht="15" hidden="false" customHeight="true" outlineLevel="0" collapsed="false">
      <c r="A23" s="67" t="s">
        <v>543</v>
      </c>
      <c r="B23" s="67" t="s">
        <v>1312</v>
      </c>
      <c r="C23" s="67" t="s">
        <v>459</v>
      </c>
      <c r="D23" s="77" t="n">
        <v>78600</v>
      </c>
      <c r="E23" s="77" t="n">
        <v>11200</v>
      </c>
      <c r="F23" s="74" t="n">
        <f aca="false">IF($A23="","",$D23+$E23)</f>
        <v>89800</v>
      </c>
      <c r="G23" s="66" t="s">
        <v>365</v>
      </c>
    </row>
    <row r="24" customFormat="false" ht="15" hidden="false" customHeight="true" outlineLevel="0" collapsed="false">
      <c r="A24" s="63" t="s">
        <v>935</v>
      </c>
      <c r="B24" s="63" t="s">
        <v>1319</v>
      </c>
      <c r="C24" s="63" t="s">
        <v>647</v>
      </c>
      <c r="D24" s="73" t="n">
        <v>60300</v>
      </c>
      <c r="E24" s="73" t="n">
        <v>8600</v>
      </c>
      <c r="F24" s="74" t="n">
        <f aca="false">IF($A24="","",$D24+$E24)</f>
        <v>68900</v>
      </c>
      <c r="G24" s="66" t="s">
        <v>365</v>
      </c>
    </row>
    <row r="25" customFormat="false" ht="15" hidden="false" customHeight="true" outlineLevel="0" collapsed="false">
      <c r="A25" s="67" t="s">
        <v>908</v>
      </c>
      <c r="B25" s="67" t="s">
        <v>1306</v>
      </c>
      <c r="C25" s="67" t="s">
        <v>459</v>
      </c>
      <c r="D25" s="77" t="n">
        <v>33500</v>
      </c>
      <c r="E25" s="77" t="n">
        <v>4800</v>
      </c>
      <c r="F25" s="74" t="n">
        <f aca="false">IF($A25="","",$D25+$E25)</f>
        <v>38300</v>
      </c>
      <c r="G25" s="66" t="s">
        <v>365</v>
      </c>
    </row>
    <row r="26" customFormat="false" ht="15" hidden="false" customHeight="true" outlineLevel="0" collapsed="false">
      <c r="A26" s="63" t="s">
        <v>265</v>
      </c>
      <c r="B26" s="63" t="s">
        <v>1300</v>
      </c>
      <c r="C26" s="63" t="s">
        <v>454</v>
      </c>
      <c r="D26" s="73" t="n">
        <v>75600</v>
      </c>
      <c r="E26" s="73" t="n">
        <v>10800</v>
      </c>
      <c r="F26" s="74" t="n">
        <f aca="false">IF($A26="","",$D26+$E26)</f>
        <v>86400</v>
      </c>
      <c r="G26" s="66" t="s">
        <v>365</v>
      </c>
    </row>
    <row r="27" customFormat="false" ht="15" hidden="false" customHeight="true" outlineLevel="0" collapsed="false">
      <c r="A27" s="67" t="s">
        <v>1117</v>
      </c>
      <c r="B27" s="67" t="s">
        <v>1319</v>
      </c>
      <c r="C27" s="67" t="s">
        <v>459</v>
      </c>
      <c r="D27" s="77" t="n">
        <v>62800</v>
      </c>
      <c r="E27" s="77" t="n">
        <v>9000</v>
      </c>
      <c r="F27" s="74" t="n">
        <f aca="false">IF($A27="","",$D27+$E27)</f>
        <v>71800</v>
      </c>
      <c r="G27" s="66" t="s">
        <v>365</v>
      </c>
    </row>
    <row r="28" customFormat="false" ht="15" hidden="false" customHeight="true" outlineLevel="0" collapsed="false">
      <c r="A28" s="63" t="s">
        <v>718</v>
      </c>
      <c r="B28" s="63" t="s">
        <v>1322</v>
      </c>
      <c r="C28" s="63" t="s">
        <v>454</v>
      </c>
      <c r="D28" s="73" t="n">
        <v>61600</v>
      </c>
      <c r="E28" s="73" t="n">
        <v>8800</v>
      </c>
      <c r="F28" s="74" t="n">
        <f aca="false">IF($A28="","",$D28+$E28)</f>
        <v>70400</v>
      </c>
      <c r="G28" s="66" t="s">
        <v>121</v>
      </c>
    </row>
    <row r="29" customFormat="false" ht="15" hidden="false" customHeight="true" outlineLevel="0" collapsed="false">
      <c r="A29" s="67" t="s">
        <v>677</v>
      </c>
      <c r="B29" s="67" t="s">
        <v>1316</v>
      </c>
      <c r="C29" s="67" t="s">
        <v>454</v>
      </c>
      <c r="D29" s="77" t="n">
        <v>53600</v>
      </c>
      <c r="E29" s="77" t="n">
        <v>7700</v>
      </c>
      <c r="F29" s="74" t="n">
        <f aca="false">IF($A29="","",$D29+$E29)</f>
        <v>61300</v>
      </c>
      <c r="G29" s="66" t="s">
        <v>365</v>
      </c>
    </row>
    <row r="30" customFormat="false" ht="15" hidden="false" customHeight="true" outlineLevel="0" collapsed="false">
      <c r="A30" s="63" t="s">
        <v>377</v>
      </c>
      <c r="B30" s="63" t="s">
        <v>1316</v>
      </c>
      <c r="C30" s="63" t="s">
        <v>459</v>
      </c>
      <c r="D30" s="73" t="n">
        <v>49400</v>
      </c>
      <c r="E30" s="73" t="n">
        <v>7100</v>
      </c>
      <c r="F30" s="74" t="n">
        <f aca="false">IF($A30="","",$D30+$E30)</f>
        <v>56500</v>
      </c>
      <c r="G30" s="66" t="s">
        <v>365</v>
      </c>
    </row>
    <row r="31" customFormat="false" ht="15" hidden="false" customHeight="true" outlineLevel="0" collapsed="false">
      <c r="A31" s="67" t="s">
        <v>661</v>
      </c>
      <c r="B31" s="67" t="s">
        <v>1319</v>
      </c>
      <c r="C31" s="67" t="s">
        <v>647</v>
      </c>
      <c r="D31" s="77" t="n">
        <v>63400</v>
      </c>
      <c r="E31" s="77" t="n">
        <v>9100</v>
      </c>
      <c r="F31" s="74" t="n">
        <f aca="false">IF($A31="","",$D31+$E31)</f>
        <v>72500</v>
      </c>
      <c r="G31" s="66" t="s">
        <v>365</v>
      </c>
    </row>
    <row r="32" customFormat="false" ht="15" hidden="false" customHeight="true" outlineLevel="0" collapsed="false">
      <c r="A32" s="63" t="s">
        <v>532</v>
      </c>
      <c r="B32" s="63" t="s">
        <v>1319</v>
      </c>
      <c r="C32" s="63" t="s">
        <v>465</v>
      </c>
      <c r="D32" s="73" t="n">
        <v>17100</v>
      </c>
      <c r="E32" s="73" t="n">
        <v>2400</v>
      </c>
      <c r="F32" s="74" t="n">
        <f aca="false">IF($A32="","",$D32+$E32)</f>
        <v>19500</v>
      </c>
      <c r="G32" s="66" t="s">
        <v>365</v>
      </c>
    </row>
    <row r="33" customFormat="false" ht="15" hidden="false" customHeight="true" outlineLevel="0" collapsed="false">
      <c r="A33" s="67" t="s">
        <v>1083</v>
      </c>
      <c r="B33" s="67" t="s">
        <v>1300</v>
      </c>
      <c r="C33" s="67" t="s">
        <v>465</v>
      </c>
      <c r="D33" s="77" t="n">
        <v>68900</v>
      </c>
      <c r="E33" s="77" t="n">
        <v>9800</v>
      </c>
      <c r="F33" s="74" t="n">
        <f aca="false">IF($A33="","",$D33+$E33)</f>
        <v>78700</v>
      </c>
      <c r="G33" s="66" t="s">
        <v>365</v>
      </c>
    </row>
    <row r="34" customFormat="false" ht="15" hidden="false" customHeight="true" outlineLevel="0" collapsed="false">
      <c r="A34" s="63" t="s">
        <v>546</v>
      </c>
      <c r="B34" s="63" t="s">
        <v>1300</v>
      </c>
      <c r="C34" s="63" t="s">
        <v>459</v>
      </c>
      <c r="D34" s="73" t="n">
        <v>48800</v>
      </c>
      <c r="E34" s="73" t="n">
        <v>7000</v>
      </c>
      <c r="F34" s="74" t="n">
        <f aca="false">IF($A34="","",$D34+$E34)</f>
        <v>55800</v>
      </c>
      <c r="G34" s="66" t="s">
        <v>365</v>
      </c>
    </row>
    <row r="35" customFormat="false" ht="15" hidden="false" customHeight="true" outlineLevel="0" collapsed="false">
      <c r="A35" s="67" t="s">
        <v>669</v>
      </c>
      <c r="B35" s="67" t="s">
        <v>1319</v>
      </c>
      <c r="C35" s="67" t="s">
        <v>647</v>
      </c>
      <c r="D35" s="77" t="n">
        <v>71300</v>
      </c>
      <c r="E35" s="77" t="n">
        <v>10200</v>
      </c>
      <c r="F35" s="74" t="n">
        <f aca="false">IF($A35="","",$D35+$E35)</f>
        <v>81500</v>
      </c>
      <c r="G35" s="66" t="s">
        <v>365</v>
      </c>
    </row>
    <row r="36" customFormat="false" ht="15" hidden="false" customHeight="true" outlineLevel="0" collapsed="false">
      <c r="A36" s="63" t="s">
        <v>243</v>
      </c>
      <c r="B36" s="63" t="s">
        <v>1306</v>
      </c>
      <c r="C36" s="63" t="s">
        <v>647</v>
      </c>
      <c r="D36" s="73" t="n">
        <v>68300</v>
      </c>
      <c r="E36" s="73" t="n">
        <v>9800</v>
      </c>
      <c r="F36" s="74" t="n">
        <f aca="false">IF($A36="","",$D36+$E36)</f>
        <v>78100</v>
      </c>
      <c r="G36" s="66" t="s">
        <v>365</v>
      </c>
    </row>
    <row r="37" customFormat="false" ht="15" hidden="false" customHeight="true" outlineLevel="0" collapsed="false">
      <c r="A37" s="67" t="s">
        <v>1087</v>
      </c>
      <c r="B37" s="67" t="s">
        <v>1322</v>
      </c>
      <c r="C37" s="67" t="s">
        <v>454</v>
      </c>
      <c r="D37" s="77" t="n">
        <v>11600</v>
      </c>
      <c r="E37" s="77" t="n">
        <v>1700</v>
      </c>
      <c r="F37" s="74" t="n">
        <f aca="false">IF($A37="","",$D37+$E37)</f>
        <v>13300</v>
      </c>
      <c r="G37" s="66" t="s">
        <v>365</v>
      </c>
    </row>
    <row r="38" customFormat="false" ht="15" hidden="false" customHeight="true" outlineLevel="0" collapsed="false">
      <c r="A38" s="63" t="s">
        <v>888</v>
      </c>
      <c r="B38" s="63" t="s">
        <v>1312</v>
      </c>
      <c r="C38" s="63" t="s">
        <v>454</v>
      </c>
      <c r="D38" s="73" t="n">
        <v>59700</v>
      </c>
      <c r="E38" s="73" t="n">
        <v>8500</v>
      </c>
      <c r="F38" s="74" t="n">
        <f aca="false">IF($A38="","",$D38+$E38)</f>
        <v>68200</v>
      </c>
      <c r="G38" s="66" t="s">
        <v>365</v>
      </c>
    </row>
    <row r="39" customFormat="false" ht="15" hidden="false" customHeight="true" outlineLevel="0" collapsed="false">
      <c r="A39" s="67" t="s">
        <v>1114</v>
      </c>
      <c r="B39" s="67" t="s">
        <v>1322</v>
      </c>
      <c r="C39" s="67" t="s">
        <v>501</v>
      </c>
      <c r="D39" s="77" t="n">
        <v>6100</v>
      </c>
      <c r="E39" s="77" t="n">
        <v>900</v>
      </c>
      <c r="F39" s="74" t="n">
        <f aca="false">IF($A39="","",$D39+$E39)</f>
        <v>7000</v>
      </c>
      <c r="G39" s="66" t="s">
        <v>121</v>
      </c>
    </row>
    <row r="40" customFormat="false" ht="15" hidden="false" customHeight="true" outlineLevel="0" collapsed="false">
      <c r="A40" s="63" t="s">
        <v>848</v>
      </c>
      <c r="B40" s="63" t="s">
        <v>1322</v>
      </c>
      <c r="C40" s="63" t="s">
        <v>446</v>
      </c>
      <c r="D40" s="73" t="n">
        <v>43300</v>
      </c>
      <c r="E40" s="73" t="n">
        <v>6200</v>
      </c>
      <c r="F40" s="74" t="n">
        <f aca="false">IF($A40="","",$D40+$E40)</f>
        <v>49500</v>
      </c>
      <c r="G40" s="66" t="s">
        <v>365</v>
      </c>
    </row>
    <row r="41" customFormat="false" ht="15" hidden="false" customHeight="true" outlineLevel="0" collapsed="false">
      <c r="A41" s="67" t="s">
        <v>1091</v>
      </c>
      <c r="B41" s="67" t="s">
        <v>1319</v>
      </c>
      <c r="C41" s="67" t="s">
        <v>647</v>
      </c>
      <c r="D41" s="77" t="n">
        <v>21900</v>
      </c>
      <c r="E41" s="77" t="n">
        <v>3100</v>
      </c>
      <c r="F41" s="74" t="n">
        <f aca="false">IF($A41="","",$D41+$E41)</f>
        <v>25000</v>
      </c>
      <c r="G41" s="66" t="s">
        <v>365</v>
      </c>
    </row>
    <row r="42" customFormat="false" ht="15" hidden="false" customHeight="true" outlineLevel="0" collapsed="false">
      <c r="A42" s="63" t="s">
        <v>1077</v>
      </c>
      <c r="B42" s="63" t="s">
        <v>1302</v>
      </c>
      <c r="C42" s="63" t="s">
        <v>647</v>
      </c>
      <c r="D42" s="73" t="n">
        <v>26200</v>
      </c>
      <c r="E42" s="73" t="n">
        <v>3700</v>
      </c>
      <c r="F42" s="74" t="n">
        <f aca="false">IF($A42="","",$D42+$E42)</f>
        <v>29900</v>
      </c>
      <c r="G42" s="66" t="s">
        <v>365</v>
      </c>
    </row>
    <row r="43" customFormat="false" ht="15" hidden="false" customHeight="true" outlineLevel="0" collapsed="false">
      <c r="A43" s="67" t="s">
        <v>597</v>
      </c>
      <c r="B43" s="67" t="s">
        <v>1302</v>
      </c>
      <c r="C43" s="67" t="s">
        <v>454</v>
      </c>
      <c r="D43" s="77" t="n">
        <v>12800</v>
      </c>
      <c r="E43" s="77" t="n">
        <v>1800</v>
      </c>
      <c r="F43" s="74" t="n">
        <f aca="false">IF($A43="","",$D43+$E43)</f>
        <v>14600</v>
      </c>
      <c r="G43" s="66" t="s">
        <v>365</v>
      </c>
    </row>
    <row r="44" customFormat="false" ht="15" hidden="false" customHeight="true" outlineLevel="0" collapsed="false">
      <c r="A44" s="63" t="s">
        <v>302</v>
      </c>
      <c r="B44" s="63" t="s">
        <v>1322</v>
      </c>
      <c r="C44" s="63" t="s">
        <v>454</v>
      </c>
      <c r="D44" s="73" t="n">
        <v>11600</v>
      </c>
      <c r="E44" s="73" t="n">
        <v>1700</v>
      </c>
      <c r="F44" s="74" t="n">
        <f aca="false">IF($A44="","",$D44+$E44)</f>
        <v>13300</v>
      </c>
      <c r="G44" s="66" t="s">
        <v>365</v>
      </c>
    </row>
    <row r="45" customFormat="false" ht="15" hidden="false" customHeight="true" outlineLevel="0" collapsed="false">
      <c r="A45" s="67" t="s">
        <v>713</v>
      </c>
      <c r="B45" s="67" t="s">
        <v>1300</v>
      </c>
      <c r="C45" s="67" t="s">
        <v>647</v>
      </c>
      <c r="D45" s="77" t="n">
        <v>57300</v>
      </c>
      <c r="E45" s="77" t="n">
        <v>8200</v>
      </c>
      <c r="F45" s="74" t="n">
        <f aca="false">IF($A45="","",$D45+$E45)</f>
        <v>65500</v>
      </c>
      <c r="G45" s="66" t="s">
        <v>365</v>
      </c>
    </row>
    <row r="46" customFormat="false" ht="15" hidden="false" customHeight="true" outlineLevel="0" collapsed="false">
      <c r="A46" s="63" t="s">
        <v>343</v>
      </c>
      <c r="B46" s="63" t="s">
        <v>1302</v>
      </c>
      <c r="C46" s="63" t="s">
        <v>501</v>
      </c>
      <c r="D46" s="73" t="n">
        <v>14600</v>
      </c>
      <c r="E46" s="73" t="n">
        <v>2100</v>
      </c>
      <c r="F46" s="74" t="n">
        <f aca="false">IF($A46="","",$D46+$E46)</f>
        <v>16700</v>
      </c>
      <c r="G46" s="66" t="s">
        <v>365</v>
      </c>
    </row>
    <row r="47" customFormat="false" ht="15" hidden="false" customHeight="true" outlineLevel="0" collapsed="false">
      <c r="A47" s="67" t="s">
        <v>805</v>
      </c>
      <c r="B47" s="67" t="s">
        <v>1302</v>
      </c>
      <c r="C47" s="67" t="s">
        <v>454</v>
      </c>
      <c r="D47" s="77" t="n">
        <v>45100</v>
      </c>
      <c r="E47" s="77" t="n">
        <v>6400</v>
      </c>
      <c r="F47" s="74" t="n">
        <f aca="false">IF($A47="","",$D47+$E47)</f>
        <v>51500</v>
      </c>
      <c r="G47" s="66" t="s">
        <v>365</v>
      </c>
    </row>
    <row r="48" customFormat="false" ht="15" hidden="false" customHeight="true" outlineLevel="0" collapsed="false">
      <c r="A48" s="63" t="s">
        <v>1069</v>
      </c>
      <c r="B48" s="63" t="s">
        <v>1316</v>
      </c>
      <c r="C48" s="63" t="s">
        <v>446</v>
      </c>
      <c r="D48" s="73" t="n">
        <v>52400</v>
      </c>
      <c r="E48" s="73" t="n">
        <v>7500</v>
      </c>
      <c r="F48" s="74" t="n">
        <f aca="false">IF($A48="","",$D48+$E48)</f>
        <v>59900</v>
      </c>
      <c r="G48" s="66" t="s">
        <v>365</v>
      </c>
    </row>
    <row r="49" customFormat="false" ht="15" hidden="false" customHeight="true" outlineLevel="0" collapsed="false">
      <c r="A49" s="67" t="s">
        <v>290</v>
      </c>
      <c r="B49" s="67" t="s">
        <v>1300</v>
      </c>
      <c r="C49" s="67" t="s">
        <v>459</v>
      </c>
      <c r="D49" s="77" t="n">
        <v>34100</v>
      </c>
      <c r="E49" s="77" t="n">
        <v>4900</v>
      </c>
      <c r="F49" s="74" t="n">
        <f aca="false">IF($A49="","",$D49+$E49)</f>
        <v>39000</v>
      </c>
      <c r="G49" s="66" t="s">
        <v>365</v>
      </c>
    </row>
    <row r="50" customFormat="false" ht="15" hidden="false" customHeight="true" outlineLevel="0" collapsed="false">
      <c r="A50" s="63" t="s">
        <v>1104</v>
      </c>
      <c r="B50" s="63" t="s">
        <v>1312</v>
      </c>
      <c r="C50" s="63" t="s">
        <v>501</v>
      </c>
      <c r="D50" s="73" t="n">
        <v>18300</v>
      </c>
      <c r="E50" s="73" t="n">
        <v>2600</v>
      </c>
      <c r="F50" s="74" t="n">
        <f aca="false">IF($A50="","",$D50+$E50)</f>
        <v>20900</v>
      </c>
      <c r="G50" s="66" t="s">
        <v>121</v>
      </c>
    </row>
    <row r="51" customFormat="false" ht="15" hidden="false" customHeight="true" outlineLevel="0" collapsed="false">
      <c r="A51" s="67" t="s">
        <v>1074</v>
      </c>
      <c r="B51" s="67" t="s">
        <v>1302</v>
      </c>
      <c r="C51" s="67" t="s">
        <v>465</v>
      </c>
      <c r="D51" s="77" t="n">
        <v>11000</v>
      </c>
      <c r="E51" s="77" t="n">
        <v>1600</v>
      </c>
      <c r="F51" s="74" t="n">
        <f aca="false">IF($A51="","",$D51+$E51)</f>
        <v>12600</v>
      </c>
      <c r="G51" s="66" t="s">
        <v>365</v>
      </c>
    </row>
    <row r="52" customFormat="false" ht="15" hidden="false" customHeight="true" outlineLevel="0" collapsed="false">
      <c r="A52" s="63" t="s">
        <v>321</v>
      </c>
      <c r="B52" s="63" t="s">
        <v>1312</v>
      </c>
      <c r="C52" s="63" t="s">
        <v>459</v>
      </c>
      <c r="D52" s="73" t="n">
        <v>40200</v>
      </c>
      <c r="E52" s="73" t="n">
        <v>5700</v>
      </c>
      <c r="F52" s="74" t="n">
        <f aca="false">IF($A52="","",$D52+$E52)</f>
        <v>45900</v>
      </c>
      <c r="G52" s="66" t="s">
        <v>365</v>
      </c>
    </row>
    <row r="53" customFormat="false" ht="15" hidden="false" customHeight="true" outlineLevel="0" collapsed="false">
      <c r="A53" s="67" t="s">
        <v>1049</v>
      </c>
      <c r="B53" s="67" t="s">
        <v>1316</v>
      </c>
      <c r="C53" s="67" t="s">
        <v>446</v>
      </c>
      <c r="D53" s="77" t="n">
        <v>36600</v>
      </c>
      <c r="E53" s="77" t="n">
        <v>5200</v>
      </c>
      <c r="F53" s="74" t="n">
        <f aca="false">IF($A53="","",$D53+$E53)</f>
        <v>41800</v>
      </c>
      <c r="G53" s="66" t="s">
        <v>365</v>
      </c>
    </row>
    <row r="54" customFormat="false" ht="15" hidden="false" customHeight="true" outlineLevel="0" collapsed="false">
      <c r="A54" s="63" t="s">
        <v>985</v>
      </c>
      <c r="B54" s="63" t="s">
        <v>1312</v>
      </c>
      <c r="C54" s="63" t="s">
        <v>459</v>
      </c>
      <c r="D54" s="73" t="n">
        <v>31100</v>
      </c>
      <c r="E54" s="73" t="n">
        <v>4400</v>
      </c>
      <c r="F54" s="74" t="n">
        <f aca="false">IF($A54="","",$D54+$E54)</f>
        <v>35500</v>
      </c>
      <c r="G54" s="66" t="s">
        <v>365</v>
      </c>
    </row>
    <row r="55" customFormat="false" ht="15" hidden="false" customHeight="true" outlineLevel="0" collapsed="false">
      <c r="A55" s="67" t="s">
        <v>391</v>
      </c>
      <c r="B55" s="67" t="s">
        <v>1319</v>
      </c>
      <c r="C55" s="67" t="s">
        <v>454</v>
      </c>
      <c r="D55" s="77" t="n">
        <v>61600</v>
      </c>
      <c r="E55" s="77" t="n">
        <v>8800</v>
      </c>
      <c r="F55" s="74" t="n">
        <f aca="false">IF($A55="","",$D55+$E55)</f>
        <v>70400</v>
      </c>
      <c r="G55" s="66" t="s">
        <v>365</v>
      </c>
    </row>
    <row r="56" customFormat="false" ht="15" hidden="false" customHeight="true" outlineLevel="0" collapsed="false">
      <c r="A56" s="63" t="s">
        <v>825</v>
      </c>
      <c r="B56" s="63" t="s">
        <v>1319</v>
      </c>
      <c r="C56" s="63" t="s">
        <v>501</v>
      </c>
      <c r="D56" s="73" t="n">
        <v>20100</v>
      </c>
      <c r="E56" s="73" t="n">
        <v>2900</v>
      </c>
      <c r="F56" s="74" t="n">
        <f aca="false">IF($A56="","",$D56+$E56)</f>
        <v>23000</v>
      </c>
      <c r="G56" s="66" t="s">
        <v>365</v>
      </c>
    </row>
    <row r="57" customFormat="false" ht="15" hidden="false" customHeight="true" outlineLevel="0" collapsed="false">
      <c r="A57" s="67" t="s">
        <v>549</v>
      </c>
      <c r="B57" s="67" t="s">
        <v>1319</v>
      </c>
      <c r="C57" s="67" t="s">
        <v>454</v>
      </c>
      <c r="D57" s="77" t="n">
        <v>70100</v>
      </c>
      <c r="E57" s="77" t="n">
        <v>10000</v>
      </c>
      <c r="F57" s="74" t="n">
        <f aca="false">IF($A57="","",$D57+$E57)</f>
        <v>80100</v>
      </c>
      <c r="G57" s="66" t="s">
        <v>365</v>
      </c>
    </row>
    <row r="58" customFormat="false" ht="15" hidden="false" customHeight="true" outlineLevel="0" collapsed="false">
      <c r="A58" s="63" t="s">
        <v>485</v>
      </c>
      <c r="B58" s="63" t="s">
        <v>1319</v>
      </c>
      <c r="C58" s="63" t="s">
        <v>446</v>
      </c>
      <c r="D58" s="73" t="n">
        <v>71900</v>
      </c>
      <c r="E58" s="73" t="n">
        <v>10300</v>
      </c>
      <c r="F58" s="74" t="n">
        <f aca="false">IF($A58="","",$D58+$E58)</f>
        <v>82200</v>
      </c>
      <c r="G58" s="66" t="s">
        <v>365</v>
      </c>
    </row>
    <row r="59" customFormat="false" ht="15" hidden="false" customHeight="true" outlineLevel="0" collapsed="false">
      <c r="A59" s="67" t="s">
        <v>286</v>
      </c>
      <c r="B59" s="67" t="s">
        <v>1316</v>
      </c>
      <c r="C59" s="67" t="s">
        <v>501</v>
      </c>
      <c r="D59" s="77" t="n">
        <v>75000</v>
      </c>
      <c r="E59" s="77" t="n">
        <v>10700</v>
      </c>
      <c r="F59" s="74" t="n">
        <f aca="false">IF($A59="","",$D59+$E59)</f>
        <v>85700</v>
      </c>
      <c r="G59" s="66" t="s">
        <v>365</v>
      </c>
    </row>
    <row r="60" customFormat="false" ht="15" hidden="false" customHeight="true" outlineLevel="0" collapsed="false">
      <c r="A60" s="63" t="s">
        <v>768</v>
      </c>
      <c r="B60" s="63" t="s">
        <v>1319</v>
      </c>
      <c r="C60" s="63" t="s">
        <v>459</v>
      </c>
      <c r="D60" s="73" t="n">
        <v>11600</v>
      </c>
      <c r="E60" s="73" t="n">
        <v>1700</v>
      </c>
      <c r="F60" s="74" t="n">
        <f aca="false">IF($A60="","",$D60+$E60)</f>
        <v>13300</v>
      </c>
      <c r="G60" s="66" t="s">
        <v>365</v>
      </c>
    </row>
    <row r="61" customFormat="false" ht="15" hidden="false" customHeight="true" outlineLevel="0" collapsed="false">
      <c r="A61" s="67" t="s">
        <v>885</v>
      </c>
      <c r="B61" s="67" t="s">
        <v>1306</v>
      </c>
      <c r="C61" s="67" t="s">
        <v>465</v>
      </c>
      <c r="D61" s="77" t="n">
        <v>29300</v>
      </c>
      <c r="E61" s="77" t="n">
        <v>4200</v>
      </c>
      <c r="F61" s="74" t="n">
        <f aca="false">IF($A61="","",$D61+$E61)</f>
        <v>33500</v>
      </c>
      <c r="G61" s="66" t="s">
        <v>121</v>
      </c>
    </row>
    <row r="62" customFormat="false" ht="15" hidden="false" customHeight="true" outlineLevel="0" collapsed="false">
      <c r="A62" s="63" t="s">
        <v>1124</v>
      </c>
      <c r="B62" s="63" t="s">
        <v>1300</v>
      </c>
      <c r="C62" s="63" t="s">
        <v>459</v>
      </c>
      <c r="D62" s="73" t="n">
        <v>26800</v>
      </c>
      <c r="E62" s="73" t="n">
        <v>3800</v>
      </c>
      <c r="F62" s="74" t="n">
        <f aca="false">IF($A62="","",$D62+$E62)</f>
        <v>30600</v>
      </c>
      <c r="G62" s="66" t="s">
        <v>365</v>
      </c>
    </row>
    <row r="63" customFormat="false" ht="15" hidden="false" customHeight="true" outlineLevel="0" collapsed="false">
      <c r="A63" s="67" t="s">
        <v>312</v>
      </c>
      <c r="B63" s="67" t="s">
        <v>1322</v>
      </c>
      <c r="C63" s="67" t="s">
        <v>647</v>
      </c>
      <c r="D63" s="77" t="n">
        <v>81900</v>
      </c>
      <c r="E63" s="77" t="n">
        <v>11500</v>
      </c>
      <c r="F63" s="74" t="n">
        <f aca="false">IF($A63="","",$D63+$E63)</f>
        <v>93400</v>
      </c>
      <c r="G63" s="66" t="s">
        <v>365</v>
      </c>
    </row>
    <row r="64" customFormat="false" ht="15" hidden="false" customHeight="true" outlineLevel="0" collapsed="false">
      <c r="A64" s="63"/>
      <c r="B64" s="63"/>
      <c r="C64" s="63"/>
      <c r="D64" s="73"/>
      <c r="E64" s="73"/>
      <c r="F64" s="74" t="str">
        <f aca="false">IF($A64="","",$D64+$E64)</f>
        <v/>
      </c>
      <c r="G64" s="66"/>
    </row>
    <row r="65" customFormat="false" ht="15" hidden="false" customHeight="true" outlineLevel="0" collapsed="false">
      <c r="A65" s="67"/>
      <c r="B65" s="67"/>
      <c r="C65" s="67"/>
      <c r="D65" s="77"/>
      <c r="E65" s="77"/>
      <c r="F65" s="74" t="str">
        <f aca="false">IF($A65="","",$D65+$E65)</f>
        <v/>
      </c>
      <c r="G65" s="66"/>
    </row>
    <row r="66" customFormat="false" ht="15" hidden="false" customHeight="true" outlineLevel="0" collapsed="false">
      <c r="A66" s="63"/>
      <c r="B66" s="63"/>
      <c r="C66" s="63"/>
      <c r="D66" s="73"/>
      <c r="E66" s="73"/>
      <c r="F66" s="74" t="str">
        <f aca="false">IF($A66="","",$D66+$E66)</f>
        <v/>
      </c>
      <c r="G66" s="66"/>
    </row>
    <row r="67" customFormat="false" ht="15" hidden="false" customHeight="true" outlineLevel="0" collapsed="false">
      <c r="A67" s="67"/>
      <c r="B67" s="67"/>
      <c r="C67" s="67"/>
      <c r="D67" s="77"/>
      <c r="E67" s="77"/>
      <c r="F67" s="74" t="str">
        <f aca="false">IF($A67="","",$D67+$E67)</f>
        <v/>
      </c>
      <c r="G67" s="66"/>
    </row>
    <row r="68" customFormat="false" ht="15" hidden="false" customHeight="true" outlineLevel="0" collapsed="false">
      <c r="A68" s="63"/>
      <c r="B68" s="63"/>
      <c r="C68" s="63"/>
      <c r="D68" s="73"/>
      <c r="E68" s="73"/>
      <c r="F68" s="74" t="str">
        <f aca="false">IF($A68="","",$D68+$E68)</f>
        <v/>
      </c>
      <c r="G68" s="66"/>
    </row>
    <row r="69" customFormat="false" ht="15" hidden="false" customHeight="true" outlineLevel="0" collapsed="false">
      <c r="A69" s="67"/>
      <c r="B69" s="67"/>
      <c r="C69" s="67"/>
      <c r="D69" s="77"/>
      <c r="E69" s="77"/>
      <c r="F69" s="74" t="str">
        <f aca="false">IF($A69="","",$D69+$E69)</f>
        <v/>
      </c>
      <c r="G69" s="66"/>
    </row>
    <row r="70" customFormat="false" ht="15" hidden="false" customHeight="true" outlineLevel="0" collapsed="false">
      <c r="A70" s="63"/>
      <c r="B70" s="63"/>
      <c r="C70" s="63"/>
      <c r="D70" s="73"/>
      <c r="E70" s="73"/>
      <c r="F70" s="74" t="str">
        <f aca="false">IF($A70="","",$D70+$E70)</f>
        <v/>
      </c>
      <c r="G70" s="66"/>
    </row>
    <row r="71" customFormat="false" ht="15" hidden="false" customHeight="true" outlineLevel="0" collapsed="false">
      <c r="A71" s="67"/>
      <c r="B71" s="67"/>
      <c r="C71" s="67"/>
      <c r="D71" s="77"/>
      <c r="E71" s="77"/>
      <c r="F71" s="74" t="str">
        <f aca="false">IF($A71="","",$D71+$E71)</f>
        <v/>
      </c>
      <c r="G71" s="66"/>
    </row>
    <row r="72" customFormat="false" ht="15" hidden="false" customHeight="true" outlineLevel="0" collapsed="false">
      <c r="A72" s="63"/>
      <c r="B72" s="63"/>
      <c r="C72" s="63"/>
      <c r="D72" s="73"/>
      <c r="E72" s="73"/>
      <c r="F72" s="74" t="str">
        <f aca="false">IF($A72="","",$D72+$E72)</f>
        <v/>
      </c>
      <c r="G72" s="66"/>
    </row>
    <row r="73" customFormat="false" ht="15" hidden="false" customHeight="true" outlineLevel="0" collapsed="false">
      <c r="A73" s="67"/>
      <c r="B73" s="67"/>
      <c r="C73" s="67"/>
      <c r="D73" s="77"/>
      <c r="E73" s="77"/>
      <c r="F73" s="74" t="str">
        <f aca="false">IF($A73="","",$D73+$E73)</f>
        <v/>
      </c>
      <c r="G73" s="66"/>
    </row>
    <row r="74" customFormat="false" ht="15" hidden="false" customHeight="true" outlineLevel="0" collapsed="false">
      <c r="A74" s="63"/>
      <c r="B74" s="63"/>
      <c r="C74" s="63"/>
      <c r="D74" s="73"/>
      <c r="E74" s="73"/>
      <c r="F74" s="74" t="str">
        <f aca="false">IF($A74="","",$D74+$E74)</f>
        <v/>
      </c>
      <c r="G74" s="66"/>
    </row>
    <row r="75" customFormat="false" ht="15" hidden="false" customHeight="true" outlineLevel="0" collapsed="false">
      <c r="A75" s="67"/>
      <c r="B75" s="67"/>
      <c r="C75" s="67"/>
      <c r="D75" s="77"/>
      <c r="E75" s="77"/>
      <c r="F75" s="74" t="str">
        <f aca="false">IF($A75="","",$D75+$E75)</f>
        <v/>
      </c>
      <c r="G75" s="66"/>
    </row>
    <row r="76" customFormat="false" ht="15" hidden="false" customHeight="true" outlineLevel="0" collapsed="false">
      <c r="A76" s="63"/>
      <c r="B76" s="63"/>
      <c r="C76" s="63"/>
      <c r="D76" s="73"/>
      <c r="E76" s="73"/>
      <c r="F76" s="74" t="str">
        <f aca="false">IF($A76="","",$D76+$E76)</f>
        <v/>
      </c>
      <c r="G76" s="66"/>
    </row>
    <row r="77" customFormat="false" ht="15" hidden="false" customHeight="true" outlineLevel="0" collapsed="false">
      <c r="A77" s="67"/>
      <c r="B77" s="67"/>
      <c r="C77" s="67"/>
      <c r="D77" s="77"/>
      <c r="E77" s="77"/>
      <c r="F77" s="74" t="str">
        <f aca="false">IF($A77="","",$D77+$E77)</f>
        <v/>
      </c>
      <c r="G77" s="66"/>
    </row>
    <row r="78" customFormat="false" ht="15" hidden="false" customHeight="true" outlineLevel="0" collapsed="false">
      <c r="A78" s="63"/>
      <c r="B78" s="63"/>
      <c r="C78" s="63"/>
      <c r="D78" s="73"/>
      <c r="E78" s="73"/>
      <c r="F78" s="74" t="str">
        <f aca="false">IF($A78="","",$D78+$E78)</f>
        <v/>
      </c>
      <c r="G78" s="66"/>
    </row>
    <row r="79" customFormat="false" ht="15" hidden="false" customHeight="true" outlineLevel="0" collapsed="false">
      <c r="A79" s="67"/>
      <c r="B79" s="67"/>
      <c r="C79" s="67"/>
      <c r="D79" s="77"/>
      <c r="E79" s="77"/>
      <c r="F79" s="74" t="str">
        <f aca="false">IF($A79="","",$D79+$E79)</f>
        <v/>
      </c>
      <c r="G79" s="66"/>
    </row>
    <row r="80" customFormat="false" ht="15" hidden="false" customHeight="true" outlineLevel="0" collapsed="false">
      <c r="A80" s="63"/>
      <c r="B80" s="63"/>
      <c r="C80" s="63"/>
      <c r="D80" s="73"/>
      <c r="E80" s="73"/>
      <c r="F80" s="74" t="str">
        <f aca="false">IF($A80="","",$D80+$E80)</f>
        <v/>
      </c>
      <c r="G80" s="66"/>
    </row>
    <row r="81" customFormat="false" ht="15" hidden="false" customHeight="true" outlineLevel="0" collapsed="false">
      <c r="A81" s="67"/>
      <c r="B81" s="67"/>
      <c r="C81" s="67"/>
      <c r="D81" s="77"/>
      <c r="E81" s="77"/>
      <c r="F81" s="74" t="str">
        <f aca="false">IF($A81="","",$D81+$E81)</f>
        <v/>
      </c>
      <c r="G81" s="66"/>
    </row>
    <row r="82" customFormat="false" ht="15" hidden="false" customHeight="true" outlineLevel="0" collapsed="false">
      <c r="A82" s="63"/>
      <c r="B82" s="63"/>
      <c r="C82" s="63"/>
      <c r="D82" s="73"/>
      <c r="E82" s="73"/>
      <c r="F82" s="74" t="str">
        <f aca="false">IF($A82="","",$D82+$E82)</f>
        <v/>
      </c>
      <c r="G82" s="66"/>
    </row>
    <row r="83" customFormat="false" ht="15" hidden="false" customHeight="true" outlineLevel="0" collapsed="false">
      <c r="A83" s="67"/>
      <c r="B83" s="67"/>
      <c r="C83" s="67"/>
      <c r="D83" s="77"/>
      <c r="E83" s="77"/>
      <c r="F83" s="74" t="str">
        <f aca="false">IF($A83="","",$D83+$E83)</f>
        <v/>
      </c>
      <c r="G83" s="66"/>
    </row>
    <row r="84" customFormat="false" ht="15" hidden="false" customHeight="true" outlineLevel="0" collapsed="false">
      <c r="A84" s="63"/>
      <c r="B84" s="63"/>
      <c r="C84" s="63"/>
      <c r="D84" s="73"/>
      <c r="E84" s="73"/>
      <c r="F84" s="74" t="str">
        <f aca="false">IF($A84="","",$D84+$E84)</f>
        <v/>
      </c>
      <c r="G84" s="66"/>
    </row>
    <row r="85" customFormat="false" ht="15" hidden="false" customHeight="true" outlineLevel="0" collapsed="false">
      <c r="A85" s="67"/>
      <c r="B85" s="67"/>
      <c r="C85" s="67"/>
      <c r="D85" s="77"/>
      <c r="E85" s="77"/>
      <c r="F85" s="74" t="str">
        <f aca="false">IF($A85="","",$D85+$E85)</f>
        <v/>
      </c>
      <c r="G85" s="66"/>
    </row>
    <row r="86" customFormat="false" ht="15" hidden="false" customHeight="true" outlineLevel="0" collapsed="false">
      <c r="A86" s="63"/>
      <c r="B86" s="63"/>
      <c r="C86" s="63"/>
      <c r="D86" s="73"/>
      <c r="E86" s="73"/>
      <c r="F86" s="74" t="str">
        <f aca="false">IF($A86="","",$D86+$E86)</f>
        <v/>
      </c>
      <c r="G86" s="66"/>
    </row>
    <row r="87" customFormat="false" ht="15" hidden="false" customHeight="true" outlineLevel="0" collapsed="false">
      <c r="A87" s="67"/>
      <c r="B87" s="67"/>
      <c r="C87" s="67"/>
      <c r="D87" s="77"/>
      <c r="E87" s="77"/>
      <c r="F87" s="74" t="str">
        <f aca="false">IF($A87="","",$D87+$E87)</f>
        <v/>
      </c>
      <c r="G87" s="66"/>
    </row>
    <row r="88" customFormat="false" ht="15" hidden="false" customHeight="true" outlineLevel="0" collapsed="false">
      <c r="A88" s="63"/>
      <c r="B88" s="63"/>
      <c r="C88" s="63"/>
      <c r="D88" s="73"/>
      <c r="E88" s="73"/>
      <c r="F88" s="74" t="str">
        <f aca="false">IF($A88="","",$D88+$E88)</f>
        <v/>
      </c>
      <c r="G88" s="66"/>
    </row>
    <row r="89" customFormat="false" ht="15" hidden="false" customHeight="true" outlineLevel="0" collapsed="false">
      <c r="A89" s="67"/>
      <c r="B89" s="67"/>
      <c r="C89" s="67"/>
      <c r="D89" s="77"/>
      <c r="E89" s="77"/>
      <c r="F89" s="74" t="str">
        <f aca="false">IF($A89="","",$D89+$E89)</f>
        <v/>
      </c>
      <c r="G89" s="66"/>
    </row>
    <row r="90" customFormat="false" ht="15" hidden="false" customHeight="true" outlineLevel="0" collapsed="false">
      <c r="A90" s="63"/>
      <c r="B90" s="63"/>
      <c r="C90" s="63"/>
      <c r="D90" s="73"/>
      <c r="E90" s="73"/>
      <c r="F90" s="74" t="str">
        <f aca="false">IF($A90="","",$D90+$E90)</f>
        <v/>
      </c>
      <c r="G90" s="66"/>
    </row>
    <row r="91" customFormat="false" ht="15" hidden="false" customHeight="true" outlineLevel="0" collapsed="false">
      <c r="A91" s="67"/>
      <c r="B91" s="67"/>
      <c r="C91" s="67"/>
      <c r="D91" s="77"/>
      <c r="E91" s="77"/>
      <c r="F91" s="74" t="str">
        <f aca="false">IF($A91="","",$D91+$E91)</f>
        <v/>
      </c>
      <c r="G91" s="66"/>
    </row>
    <row r="92" customFormat="false" ht="15" hidden="false" customHeight="true" outlineLevel="0" collapsed="false">
      <c r="A92" s="63"/>
      <c r="B92" s="63"/>
      <c r="C92" s="63"/>
      <c r="D92" s="73"/>
      <c r="E92" s="73"/>
      <c r="F92" s="74" t="str">
        <f aca="false">IF($A92="","",$D92+$E92)</f>
        <v/>
      </c>
      <c r="G92" s="66"/>
    </row>
    <row r="93" customFormat="false" ht="15" hidden="false" customHeight="true" outlineLevel="0" collapsed="false">
      <c r="A93" s="67"/>
      <c r="B93" s="67"/>
      <c r="C93" s="67"/>
      <c r="D93" s="77"/>
      <c r="E93" s="77"/>
      <c r="F93" s="74" t="str">
        <f aca="false">IF($A93="","",$D93+$E93)</f>
        <v/>
      </c>
      <c r="G93" s="66"/>
    </row>
    <row r="94" customFormat="false" ht="15" hidden="false" customHeight="true" outlineLevel="0" collapsed="false">
      <c r="A94" s="63"/>
      <c r="B94" s="63"/>
      <c r="C94" s="63"/>
      <c r="D94" s="73"/>
      <c r="E94" s="73"/>
      <c r="F94" s="74" t="str">
        <f aca="false">IF($A94="","",$D94+$E94)</f>
        <v/>
      </c>
      <c r="G94" s="66"/>
    </row>
    <row r="95" customFormat="false" ht="15" hidden="false" customHeight="true" outlineLevel="0" collapsed="false">
      <c r="A95" s="67"/>
      <c r="B95" s="67"/>
      <c r="C95" s="67"/>
      <c r="D95" s="77"/>
      <c r="E95" s="77"/>
      <c r="F95" s="74" t="str">
        <f aca="false">IF($A95="","",$D95+$E95)</f>
        <v/>
      </c>
      <c r="G95" s="66"/>
    </row>
    <row r="96" customFormat="false" ht="15" hidden="false" customHeight="true" outlineLevel="0" collapsed="false">
      <c r="A96" s="63"/>
      <c r="B96" s="63"/>
      <c r="C96" s="63"/>
      <c r="D96" s="73"/>
      <c r="E96" s="73"/>
      <c r="F96" s="74" t="str">
        <f aca="false">IF($A96="","",$D96+$E96)</f>
        <v/>
      </c>
      <c r="G96" s="66"/>
    </row>
    <row r="97" customFormat="false" ht="15" hidden="false" customHeight="true" outlineLevel="0" collapsed="false">
      <c r="A97" s="67"/>
      <c r="B97" s="67"/>
      <c r="C97" s="67"/>
      <c r="D97" s="77"/>
      <c r="E97" s="77"/>
      <c r="F97" s="74" t="str">
        <f aca="false">IF($A97="","",$D97+$E97)</f>
        <v/>
      </c>
      <c r="G97" s="66"/>
    </row>
    <row r="98" customFormat="false" ht="15" hidden="false" customHeight="true" outlineLevel="0" collapsed="false">
      <c r="A98" s="63"/>
      <c r="B98" s="63"/>
      <c r="C98" s="63"/>
      <c r="D98" s="73"/>
      <c r="E98" s="73"/>
      <c r="F98" s="74" t="str">
        <f aca="false">IF($A98="","",$D98+$E98)</f>
        <v/>
      </c>
      <c r="G98" s="66"/>
    </row>
    <row r="99" customFormat="false" ht="15" hidden="false" customHeight="true" outlineLevel="0" collapsed="false">
      <c r="A99" s="67"/>
      <c r="B99" s="67"/>
      <c r="C99" s="67"/>
      <c r="D99" s="77"/>
      <c r="E99" s="77"/>
      <c r="F99" s="74" t="str">
        <f aca="false">IF($A99="","",$D99+$E99)</f>
        <v/>
      </c>
      <c r="G99" s="66"/>
    </row>
    <row r="100" customFormat="false" ht="15" hidden="false" customHeight="true" outlineLevel="0" collapsed="false">
      <c r="A100" s="63"/>
      <c r="B100" s="63"/>
      <c r="C100" s="63"/>
      <c r="D100" s="73"/>
      <c r="E100" s="73"/>
      <c r="F100" s="74" t="str">
        <f aca="false">IF($A100="","",$D100+$E100)</f>
        <v/>
      </c>
      <c r="G100" s="66"/>
    </row>
    <row r="101" customFormat="false" ht="15" hidden="false" customHeight="true" outlineLevel="0" collapsed="false">
      <c r="A101" s="67"/>
      <c r="B101" s="67"/>
      <c r="C101" s="67"/>
      <c r="D101" s="77"/>
      <c r="E101" s="77"/>
      <c r="F101" s="74" t="str">
        <f aca="false">IF($A101="","",$D101+$E101)</f>
        <v/>
      </c>
      <c r="G101" s="66"/>
    </row>
    <row r="102" customFormat="false" ht="15" hidden="false" customHeight="true" outlineLevel="0" collapsed="false">
      <c r="A102" s="63"/>
      <c r="B102" s="63"/>
      <c r="C102" s="63"/>
      <c r="D102" s="73"/>
      <c r="E102" s="73"/>
      <c r="F102" s="74" t="str">
        <f aca="false">IF($A102="","",$D102+$E102)</f>
        <v/>
      </c>
      <c r="G102" s="66"/>
    </row>
    <row r="103" customFormat="false" ht="15" hidden="false" customHeight="true" outlineLevel="0" collapsed="false">
      <c r="A103" s="67"/>
      <c r="B103" s="67"/>
      <c r="C103" s="67"/>
      <c r="D103" s="77"/>
      <c r="E103" s="77"/>
      <c r="F103" s="74" t="str">
        <f aca="false">IF($A103="","",$D103+$E103)</f>
        <v/>
      </c>
      <c r="G103" s="66"/>
    </row>
    <row r="104" customFormat="false" ht="15" hidden="false" customHeight="true" outlineLevel="0" collapsed="false">
      <c r="A104" s="63"/>
      <c r="B104" s="63"/>
      <c r="C104" s="63"/>
      <c r="D104" s="73"/>
      <c r="E104" s="73"/>
      <c r="F104" s="74" t="str">
        <f aca="false">IF($A104="","",$D104+$E104)</f>
        <v/>
      </c>
      <c r="G104" s="66"/>
    </row>
    <row r="105" customFormat="false" ht="15" hidden="false" customHeight="true" outlineLevel="0" collapsed="false">
      <c r="A105" s="67"/>
      <c r="B105" s="67"/>
      <c r="C105" s="67"/>
      <c r="D105" s="77"/>
      <c r="E105" s="77"/>
      <c r="F105" s="74" t="str">
        <f aca="false">IF($A105="","",$D105+$E105)</f>
        <v/>
      </c>
      <c r="G105" s="66"/>
    </row>
    <row r="106" customFormat="false" ht="15" hidden="false" customHeight="true" outlineLevel="0" collapsed="false">
      <c r="A106" s="63"/>
      <c r="B106" s="63"/>
      <c r="C106" s="63"/>
      <c r="D106" s="73"/>
      <c r="E106" s="73"/>
      <c r="F106" s="74" t="str">
        <f aca="false">IF($A106="","",$D106+$E106)</f>
        <v/>
      </c>
      <c r="G106" s="66"/>
    </row>
    <row r="107" customFormat="false" ht="15" hidden="false" customHeight="true" outlineLevel="0" collapsed="false">
      <c r="A107" s="67"/>
      <c r="B107" s="67"/>
      <c r="C107" s="67"/>
      <c r="D107" s="77"/>
      <c r="E107" s="77"/>
      <c r="F107" s="74" t="str">
        <f aca="false">IF($A107="","",$D107+$E107)</f>
        <v/>
      </c>
      <c r="G107" s="66"/>
    </row>
    <row r="108" customFormat="false" ht="15" hidden="false" customHeight="true" outlineLevel="0" collapsed="false">
      <c r="A108" s="63"/>
      <c r="B108" s="63"/>
      <c r="C108" s="63"/>
      <c r="D108" s="73"/>
      <c r="E108" s="73"/>
      <c r="F108" s="74" t="str">
        <f aca="false">IF($A108="","",$D108+$E108)</f>
        <v/>
      </c>
      <c r="G108" s="66"/>
    </row>
    <row r="109" customFormat="false" ht="15" hidden="false" customHeight="true" outlineLevel="0" collapsed="false">
      <c r="A109" s="67"/>
      <c r="B109" s="67"/>
      <c r="C109" s="67"/>
      <c r="D109" s="77"/>
      <c r="E109" s="77"/>
      <c r="F109" s="74" t="str">
        <f aca="false">IF($A109="","",$D109+$E109)</f>
        <v/>
      </c>
      <c r="G109" s="66"/>
    </row>
    <row r="110" customFormat="false" ht="15" hidden="false" customHeight="true" outlineLevel="0" collapsed="false">
      <c r="A110" s="63"/>
      <c r="B110" s="63"/>
      <c r="C110" s="63"/>
      <c r="D110" s="73"/>
      <c r="E110" s="73"/>
      <c r="F110" s="74" t="str">
        <f aca="false">IF($A110="","",$D110+$E110)</f>
        <v/>
      </c>
      <c r="G110" s="66"/>
    </row>
    <row r="111" customFormat="false" ht="15" hidden="false" customHeight="true" outlineLevel="0" collapsed="false">
      <c r="A111" s="67"/>
      <c r="B111" s="67"/>
      <c r="C111" s="67"/>
      <c r="D111" s="77"/>
      <c r="E111" s="77"/>
      <c r="F111" s="74" t="str">
        <f aca="false">IF($A111="","",$D111+$E111)</f>
        <v/>
      </c>
      <c r="G111" s="66"/>
    </row>
    <row r="112" customFormat="false" ht="15" hidden="false" customHeight="true" outlineLevel="0" collapsed="false">
      <c r="A112" s="63"/>
      <c r="B112" s="63"/>
      <c r="C112" s="63"/>
      <c r="D112" s="73"/>
      <c r="E112" s="73"/>
      <c r="F112" s="74" t="str">
        <f aca="false">IF($A112="","",$D112+$E112)</f>
        <v/>
      </c>
      <c r="G112" s="66"/>
    </row>
    <row r="113" customFormat="false" ht="15" hidden="false" customHeight="true" outlineLevel="0" collapsed="false">
      <c r="A113" s="67"/>
      <c r="B113" s="67"/>
      <c r="C113" s="67"/>
      <c r="D113" s="77"/>
      <c r="E113" s="77"/>
      <c r="F113" s="74" t="str">
        <f aca="false">IF($A113="","",$D113+$E113)</f>
        <v/>
      </c>
      <c r="G113" s="66"/>
    </row>
    <row r="114" customFormat="false" ht="15" hidden="false" customHeight="true" outlineLevel="0" collapsed="false">
      <c r="A114" s="63"/>
      <c r="B114" s="63"/>
      <c r="C114" s="63"/>
      <c r="D114" s="73"/>
      <c r="E114" s="73"/>
      <c r="F114" s="74" t="str">
        <f aca="false">IF($A114="","",$D114+$E114)</f>
        <v/>
      </c>
      <c r="G114" s="66"/>
    </row>
    <row r="115" customFormat="false" ht="15" hidden="false" customHeight="true" outlineLevel="0" collapsed="false">
      <c r="A115" s="67"/>
      <c r="B115" s="67"/>
      <c r="C115" s="67"/>
      <c r="D115" s="77"/>
      <c r="E115" s="77"/>
      <c r="F115" s="74" t="str">
        <f aca="false">IF($A115="","",$D115+$E115)</f>
        <v/>
      </c>
      <c r="G115" s="66"/>
    </row>
    <row r="116" customFormat="false" ht="15" hidden="false" customHeight="true" outlineLevel="0" collapsed="false">
      <c r="A116" s="63"/>
      <c r="B116" s="63"/>
      <c r="C116" s="63"/>
      <c r="D116" s="73"/>
      <c r="E116" s="73"/>
      <c r="F116" s="74" t="str">
        <f aca="false">IF($A116="","",$D116+$E116)</f>
        <v/>
      </c>
      <c r="G116" s="66"/>
    </row>
    <row r="117" customFormat="false" ht="15" hidden="false" customHeight="true" outlineLevel="0" collapsed="false">
      <c r="A117" s="67"/>
      <c r="B117" s="67"/>
      <c r="C117" s="67"/>
      <c r="D117" s="77"/>
      <c r="E117" s="77"/>
      <c r="F117" s="74" t="str">
        <f aca="false">IF($A117="","",$D117+$E117)</f>
        <v/>
      </c>
      <c r="G117" s="66"/>
    </row>
    <row r="118" customFormat="false" ht="15" hidden="false" customHeight="true" outlineLevel="0" collapsed="false">
      <c r="A118" s="63"/>
      <c r="B118" s="63"/>
      <c r="C118" s="63"/>
      <c r="D118" s="73"/>
      <c r="E118" s="73"/>
      <c r="F118" s="74" t="str">
        <f aca="false">IF($A118="","",$D118+$E118)</f>
        <v/>
      </c>
      <c r="G118" s="66"/>
    </row>
    <row r="119" customFormat="false" ht="15" hidden="false" customHeight="true" outlineLevel="0" collapsed="false">
      <c r="A119" s="67"/>
      <c r="B119" s="67"/>
      <c r="C119" s="67"/>
      <c r="D119" s="77"/>
      <c r="E119" s="77"/>
      <c r="F119" s="74" t="str">
        <f aca="false">IF($A119="","",$D119+$E119)</f>
        <v/>
      </c>
      <c r="G119" s="66"/>
    </row>
    <row r="120" customFormat="false" ht="15" hidden="false" customHeight="true" outlineLevel="0" collapsed="false">
      <c r="A120" s="63"/>
      <c r="B120" s="63"/>
      <c r="C120" s="63"/>
      <c r="D120" s="73"/>
      <c r="E120" s="73"/>
      <c r="F120" s="74" t="str">
        <f aca="false">IF($A120="","",$D120+$E120)</f>
        <v/>
      </c>
      <c r="G120" s="66"/>
    </row>
    <row r="121" customFormat="false" ht="15" hidden="false" customHeight="true" outlineLevel="0" collapsed="false">
      <c r="A121" s="67"/>
      <c r="B121" s="67"/>
      <c r="C121" s="67"/>
      <c r="D121" s="77"/>
      <c r="E121" s="77"/>
      <c r="F121" s="74" t="str">
        <f aca="false">IF($A121="","",$D121+$E121)</f>
        <v/>
      </c>
      <c r="G121" s="66"/>
    </row>
    <row r="122" customFormat="false" ht="15" hidden="false" customHeight="true" outlineLevel="0" collapsed="false">
      <c r="A122" s="63"/>
      <c r="B122" s="63"/>
      <c r="C122" s="63"/>
      <c r="D122" s="73"/>
      <c r="E122" s="73"/>
      <c r="F122" s="74" t="str">
        <f aca="false">IF($A122="","",$D122+$E122)</f>
        <v/>
      </c>
      <c r="G122" s="66"/>
    </row>
    <row r="123" customFormat="false" ht="15" hidden="false" customHeight="true" outlineLevel="0" collapsed="false">
      <c r="A123" s="67"/>
      <c r="B123" s="67"/>
      <c r="C123" s="67"/>
      <c r="D123" s="77"/>
      <c r="E123" s="77"/>
      <c r="F123" s="74" t="str">
        <f aca="false">IF($A123="","",$D123+$E123)</f>
        <v/>
      </c>
      <c r="G123" s="66"/>
    </row>
    <row r="124" customFormat="false" ht="15" hidden="false" customHeight="true" outlineLevel="0" collapsed="false">
      <c r="A124" s="63"/>
      <c r="B124" s="63"/>
      <c r="C124" s="63"/>
      <c r="D124" s="73"/>
      <c r="E124" s="73"/>
      <c r="F124" s="74" t="str">
        <f aca="false">IF($A124="","",$D124+$E124)</f>
        <v/>
      </c>
      <c r="G124" s="66"/>
    </row>
    <row r="125" customFormat="false" ht="15" hidden="false" customHeight="true" outlineLevel="0" collapsed="false">
      <c r="A125" s="67"/>
      <c r="B125" s="67"/>
      <c r="C125" s="67"/>
      <c r="D125" s="77"/>
      <c r="E125" s="77"/>
      <c r="F125" s="74" t="str">
        <f aca="false">IF($A125="","",$D125+$E125)</f>
        <v/>
      </c>
      <c r="G125" s="66"/>
    </row>
    <row r="126" customFormat="false" ht="15" hidden="false" customHeight="true" outlineLevel="0" collapsed="false">
      <c r="A126" s="63"/>
      <c r="B126" s="63"/>
      <c r="C126" s="63"/>
      <c r="D126" s="73"/>
      <c r="E126" s="73"/>
      <c r="F126" s="74" t="str">
        <f aca="false">IF($A126="","",$D126+$E126)</f>
        <v/>
      </c>
      <c r="G126" s="66"/>
    </row>
    <row r="127" customFormat="false" ht="15" hidden="false" customHeight="true" outlineLevel="0" collapsed="false">
      <c r="A127" s="67"/>
      <c r="B127" s="67"/>
      <c r="C127" s="67"/>
      <c r="D127" s="77"/>
      <c r="E127" s="77"/>
      <c r="F127" s="74" t="str">
        <f aca="false">IF($A127="","",$D127+$E127)</f>
        <v/>
      </c>
      <c r="G127" s="66"/>
    </row>
    <row r="128" customFormat="false" ht="15" hidden="false" customHeight="true" outlineLevel="0" collapsed="false">
      <c r="A128" s="63"/>
      <c r="B128" s="63"/>
      <c r="C128" s="63"/>
      <c r="D128" s="73"/>
      <c r="E128" s="73"/>
      <c r="F128" s="74" t="str">
        <f aca="false">IF($A128="","",$D128+$E128)</f>
        <v/>
      </c>
      <c r="G128" s="66"/>
    </row>
    <row r="129" customFormat="false" ht="15" hidden="false" customHeight="true" outlineLevel="0" collapsed="false">
      <c r="A129" s="67"/>
      <c r="B129" s="67"/>
      <c r="C129" s="67"/>
      <c r="D129" s="77"/>
      <c r="E129" s="77"/>
      <c r="F129" s="74" t="str">
        <f aca="false">IF($A129="","",$D129+$E129)</f>
        <v/>
      </c>
      <c r="G129" s="66"/>
    </row>
    <row r="130" customFormat="false" ht="15" hidden="false" customHeight="true" outlineLevel="0" collapsed="false">
      <c r="A130" s="63"/>
      <c r="B130" s="63"/>
      <c r="C130" s="63"/>
      <c r="D130" s="73"/>
      <c r="E130" s="73"/>
      <c r="F130" s="74" t="str">
        <f aca="false">IF($A130="","",$D130+$E130)</f>
        <v/>
      </c>
      <c r="G130" s="66"/>
    </row>
    <row r="131" customFormat="false" ht="15" hidden="false" customHeight="true" outlineLevel="0" collapsed="false">
      <c r="A131" s="67"/>
      <c r="B131" s="67"/>
      <c r="C131" s="67"/>
      <c r="D131" s="77"/>
      <c r="E131" s="77"/>
      <c r="F131" s="74" t="str">
        <f aca="false">IF($A131="","",$D131+$E131)</f>
        <v/>
      </c>
      <c r="G131" s="66"/>
    </row>
    <row r="132" customFormat="false" ht="15" hidden="false" customHeight="true" outlineLevel="0" collapsed="false">
      <c r="A132" s="63"/>
      <c r="B132" s="63"/>
      <c r="C132" s="63"/>
      <c r="D132" s="73"/>
      <c r="E132" s="73"/>
      <c r="F132" s="74" t="str">
        <f aca="false">IF($A132="","",$D132+$E132)</f>
        <v/>
      </c>
      <c r="G132" s="66"/>
    </row>
    <row r="133" customFormat="false" ht="15" hidden="false" customHeight="true" outlineLevel="0" collapsed="false">
      <c r="A133" s="67"/>
      <c r="B133" s="67"/>
      <c r="C133" s="67"/>
      <c r="D133" s="77"/>
      <c r="E133" s="77"/>
      <c r="F133" s="74" t="str">
        <f aca="false">IF($A133="","",$D133+$E133)</f>
        <v/>
      </c>
      <c r="G133" s="66"/>
    </row>
    <row r="134" customFormat="false" ht="15" hidden="false" customHeight="true" outlineLevel="0" collapsed="false">
      <c r="A134" s="63"/>
      <c r="B134" s="63"/>
      <c r="C134" s="63"/>
      <c r="D134" s="73"/>
      <c r="E134" s="73"/>
      <c r="F134" s="74" t="str">
        <f aca="false">IF($A134="","",$D134+$E134)</f>
        <v/>
      </c>
      <c r="G134" s="66"/>
    </row>
    <row r="135" customFormat="false" ht="15" hidden="false" customHeight="true" outlineLevel="0" collapsed="false">
      <c r="A135" s="67"/>
      <c r="B135" s="67"/>
      <c r="C135" s="67"/>
      <c r="D135" s="77"/>
      <c r="E135" s="77"/>
      <c r="F135" s="74" t="str">
        <f aca="false">IF($A135="","",$D135+$E135)</f>
        <v/>
      </c>
      <c r="G135" s="66"/>
    </row>
    <row r="136" customFormat="false" ht="15" hidden="false" customHeight="true" outlineLevel="0" collapsed="false">
      <c r="A136" s="63"/>
      <c r="B136" s="63"/>
      <c r="C136" s="63"/>
      <c r="D136" s="73"/>
      <c r="E136" s="73"/>
      <c r="F136" s="74" t="str">
        <f aca="false">IF($A136="","",$D136+$E136)</f>
        <v/>
      </c>
      <c r="G136" s="66"/>
    </row>
    <row r="137" customFormat="false" ht="15" hidden="false" customHeight="true" outlineLevel="0" collapsed="false">
      <c r="A137" s="67"/>
      <c r="B137" s="67"/>
      <c r="C137" s="67"/>
      <c r="D137" s="77"/>
      <c r="E137" s="77"/>
      <c r="F137" s="74" t="str">
        <f aca="false">IF($A137="","",$D137+$E137)</f>
        <v/>
      </c>
      <c r="G137" s="66"/>
    </row>
    <row r="138" customFormat="false" ht="15" hidden="false" customHeight="true" outlineLevel="0" collapsed="false">
      <c r="A138" s="63"/>
      <c r="B138" s="63"/>
      <c r="C138" s="63"/>
      <c r="D138" s="73"/>
      <c r="E138" s="73"/>
      <c r="F138" s="74" t="str">
        <f aca="false">IF($A138="","",$D138+$E138)</f>
        <v/>
      </c>
      <c r="G138" s="66"/>
    </row>
    <row r="139" customFormat="false" ht="15" hidden="false" customHeight="true" outlineLevel="0" collapsed="false">
      <c r="A139" s="67"/>
      <c r="B139" s="67"/>
      <c r="C139" s="67"/>
      <c r="D139" s="77"/>
      <c r="E139" s="77"/>
      <c r="F139" s="74" t="str">
        <f aca="false">IF($A139="","",$D139+$E139)</f>
        <v/>
      </c>
      <c r="G139" s="66"/>
    </row>
    <row r="140" customFormat="false" ht="15" hidden="false" customHeight="true" outlineLevel="0" collapsed="false">
      <c r="A140" s="63"/>
      <c r="B140" s="63"/>
      <c r="C140" s="63"/>
      <c r="D140" s="73"/>
      <c r="E140" s="73"/>
      <c r="F140" s="74" t="str">
        <f aca="false">IF($A140="","",$D140+$E140)</f>
        <v/>
      </c>
      <c r="G140" s="66"/>
    </row>
    <row r="141" customFormat="false" ht="15" hidden="false" customHeight="true" outlineLevel="0" collapsed="false">
      <c r="A141" s="67"/>
      <c r="B141" s="67"/>
      <c r="C141" s="67"/>
      <c r="D141" s="77"/>
      <c r="E141" s="77"/>
      <c r="F141" s="74" t="str">
        <f aca="false">IF($A141="","",$D141+$E141)</f>
        <v/>
      </c>
      <c r="G141" s="66"/>
    </row>
    <row r="142" customFormat="false" ht="15" hidden="false" customHeight="true" outlineLevel="0" collapsed="false">
      <c r="A142" s="63"/>
      <c r="B142" s="63"/>
      <c r="C142" s="63"/>
      <c r="D142" s="73"/>
      <c r="E142" s="73"/>
      <c r="F142" s="74" t="str">
        <f aca="false">IF($A142="","",$D142+$E142)</f>
        <v/>
      </c>
      <c r="G142" s="66"/>
    </row>
    <row r="143" customFormat="false" ht="15" hidden="false" customHeight="true" outlineLevel="0" collapsed="false">
      <c r="A143" s="67"/>
      <c r="B143" s="67"/>
      <c r="C143" s="67"/>
      <c r="D143" s="77"/>
      <c r="E143" s="77"/>
      <c r="F143" s="74" t="str">
        <f aca="false">IF($A143="","",$D143+$E143)</f>
        <v/>
      </c>
      <c r="G143" s="66"/>
    </row>
    <row r="144" customFormat="false" ht="15" hidden="false" customHeight="true" outlineLevel="0" collapsed="false">
      <c r="A144" s="63"/>
      <c r="B144" s="63"/>
      <c r="C144" s="63"/>
      <c r="D144" s="73"/>
      <c r="E144" s="73"/>
      <c r="F144" s="74" t="str">
        <f aca="false">IF($A144="","",$D144+$E144)</f>
        <v/>
      </c>
      <c r="G144" s="66"/>
    </row>
    <row r="145" customFormat="false" ht="15" hidden="false" customHeight="true" outlineLevel="0" collapsed="false">
      <c r="A145" s="67"/>
      <c r="B145" s="67"/>
      <c r="C145" s="67"/>
      <c r="D145" s="77"/>
      <c r="E145" s="77"/>
      <c r="F145" s="74" t="str">
        <f aca="false">IF($A145="","",$D145+$E145)</f>
        <v/>
      </c>
      <c r="G145" s="66"/>
    </row>
    <row r="146" customFormat="false" ht="15" hidden="false" customHeight="true" outlineLevel="0" collapsed="false">
      <c r="A146" s="63"/>
      <c r="B146" s="63"/>
      <c r="C146" s="63"/>
      <c r="D146" s="73"/>
      <c r="E146" s="73"/>
      <c r="F146" s="74" t="str">
        <f aca="false">IF($A146="","",$D146+$E146)</f>
        <v/>
      </c>
      <c r="G146" s="66"/>
    </row>
    <row r="147" customFormat="false" ht="15" hidden="false" customHeight="true" outlineLevel="0" collapsed="false">
      <c r="A147" s="67"/>
      <c r="B147" s="67"/>
      <c r="C147" s="67"/>
      <c r="D147" s="77"/>
      <c r="E147" s="77"/>
      <c r="F147" s="74" t="str">
        <f aca="false">IF($A147="","",$D147+$E147)</f>
        <v/>
      </c>
      <c r="G147" s="66"/>
    </row>
    <row r="148" customFormat="false" ht="15" hidden="false" customHeight="true" outlineLevel="0" collapsed="false">
      <c r="A148" s="63"/>
      <c r="B148" s="63"/>
      <c r="C148" s="63"/>
      <c r="D148" s="73"/>
      <c r="E148" s="73"/>
      <c r="F148" s="74" t="str">
        <f aca="false">IF($A148="","",$D148+$E148)</f>
        <v/>
      </c>
      <c r="G148" s="66"/>
    </row>
    <row r="149" customFormat="false" ht="15" hidden="false" customHeight="true" outlineLevel="0" collapsed="false">
      <c r="A149" s="67"/>
      <c r="B149" s="67"/>
      <c r="C149" s="67"/>
      <c r="D149" s="77"/>
      <c r="E149" s="77"/>
      <c r="F149" s="74" t="str">
        <f aca="false">IF($A149="","",$D149+$E149)</f>
        <v/>
      </c>
      <c r="G149" s="66"/>
    </row>
    <row r="150" customFormat="false" ht="15" hidden="false" customHeight="true" outlineLevel="0" collapsed="false">
      <c r="A150" s="63"/>
      <c r="B150" s="63"/>
      <c r="C150" s="63"/>
      <c r="D150" s="73"/>
      <c r="E150" s="73"/>
      <c r="F150" s="74" t="str">
        <f aca="false">IF($A150="","",$D150+$E150)</f>
        <v/>
      </c>
      <c r="G150" s="66"/>
    </row>
    <row r="151" customFormat="false" ht="15" hidden="false" customHeight="true" outlineLevel="0" collapsed="false">
      <c r="A151" s="67"/>
      <c r="B151" s="67"/>
      <c r="C151" s="67"/>
      <c r="D151" s="77"/>
      <c r="E151" s="77"/>
      <c r="F151" s="74" t="str">
        <f aca="false">IF($A151="","",$D151+$E151)</f>
        <v/>
      </c>
      <c r="G151" s="66"/>
    </row>
    <row r="152" customFormat="false" ht="15" hidden="false" customHeight="true" outlineLevel="0" collapsed="false">
      <c r="A152" s="63"/>
      <c r="B152" s="63"/>
      <c r="C152" s="63"/>
      <c r="D152" s="73"/>
      <c r="E152" s="73"/>
      <c r="F152" s="74" t="str">
        <f aca="false">IF($A152="","",$D152+$E152)</f>
        <v/>
      </c>
      <c r="G152" s="66"/>
    </row>
    <row r="153" customFormat="false" ht="15" hidden="false" customHeight="true" outlineLevel="0" collapsed="false">
      <c r="A153" s="67"/>
      <c r="B153" s="67"/>
      <c r="C153" s="67"/>
      <c r="D153" s="77"/>
      <c r="E153" s="77"/>
      <c r="F153" s="74" t="str">
        <f aca="false">IF($A153="","",$D153+$E153)</f>
        <v/>
      </c>
      <c r="G153" s="66"/>
    </row>
    <row r="154" customFormat="false" ht="15" hidden="false" customHeight="true" outlineLevel="0" collapsed="false">
      <c r="A154" s="63"/>
      <c r="B154" s="63"/>
      <c r="C154" s="63"/>
      <c r="D154" s="73"/>
      <c r="E154" s="73"/>
      <c r="F154" s="74" t="str">
        <f aca="false">IF($A154="","",$D154+$E154)</f>
        <v/>
      </c>
      <c r="G154" s="66"/>
    </row>
  </sheetData>
  <conditionalFormatting sqref="G6:G154">
    <cfRule type="cellIs" priority="2" operator="equal" aboveAverage="0" equalAverage="0" bottom="0" percent="0" rank="0" text="" dxfId="11">
      <formula>"No"</formula>
    </cfRule>
  </conditionalFormatting>
  <dataValidations count="1">
    <dataValidation allowBlank="true" errorStyle="stop" operator="between" showDropDown="false" showErrorMessage="false" showInputMessage="false" sqref="G6:G154"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B5563"/>
    <pageSetUpPr fitToPage="true"/>
  </sheetPr>
  <dimension ref="A1:E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1" width="30"/>
    <col collapsed="false" customWidth="true" hidden="false" outlineLevel="0" max="3" min="3" style="1" width="12"/>
    <col collapsed="false" customWidth="true" hidden="false" outlineLevel="0" max="4" min="4" style="1" width="27"/>
    <col collapsed="false" customWidth="true" hidden="false" outlineLevel="0" max="5" min="5" style="1" width="24"/>
  </cols>
  <sheetData>
    <row r="1" customFormat="false" ht="21.75" hidden="false" customHeight="true" outlineLevel="0" collapsed="false">
      <c r="A1" s="31" t="s">
        <v>46</v>
      </c>
    </row>
    <row r="2" customFormat="false" ht="15" hidden="false" customHeight="true" outlineLevel="0" collapsed="false">
      <c r="A2" s="32" t="s">
        <v>1323</v>
      </c>
    </row>
    <row r="3" customFormat="false" ht="15" hidden="false" customHeight="true" outlineLevel="0" collapsed="false">
      <c r="A3" s="60" t="s">
        <v>1324</v>
      </c>
    </row>
    <row r="4" customFormat="false" ht="15" hidden="false" customHeight="true" outlineLevel="0" collapsed="false">
      <c r="A4" s="30" t="s">
        <v>161</v>
      </c>
      <c r="E4" s="61" t="s">
        <v>162</v>
      </c>
    </row>
    <row r="5" customFormat="false" ht="30" hidden="false" customHeight="true" outlineLevel="0" collapsed="false">
      <c r="A5" s="8" t="s">
        <v>1325</v>
      </c>
      <c r="B5" s="8" t="s">
        <v>1326</v>
      </c>
      <c r="C5" s="8" t="s">
        <v>1327</v>
      </c>
      <c r="D5" s="8" t="s">
        <v>1328</v>
      </c>
      <c r="E5" s="50" t="s">
        <v>1329</v>
      </c>
    </row>
    <row r="6" customFormat="false" ht="15" hidden="false" customHeight="true" outlineLevel="0" collapsed="false">
      <c r="A6" s="63" t="s">
        <v>450</v>
      </c>
      <c r="B6" s="63" t="s">
        <v>1330</v>
      </c>
      <c r="C6" s="63" t="s">
        <v>365</v>
      </c>
      <c r="D6" s="63" t="s">
        <v>1331</v>
      </c>
      <c r="E6" s="66" t="n">
        <f aca="false">IF($A6="","",COUNTIFS(Matters!$K$6:$K$604,$A6,Matters!$R$6:$R$604,"Yes"))</f>
        <v>26</v>
      </c>
    </row>
    <row r="7" customFormat="false" ht="15" hidden="false" customHeight="true" outlineLevel="0" collapsed="false">
      <c r="A7" s="67" t="s">
        <v>492</v>
      </c>
      <c r="B7" s="67" t="s">
        <v>1332</v>
      </c>
      <c r="C7" s="67" t="s">
        <v>365</v>
      </c>
      <c r="D7" s="67" t="s">
        <v>459</v>
      </c>
      <c r="E7" s="66" t="n">
        <f aca="false">IF($A7="","",COUNTIFS(Matters!$K$6:$K$604,$A7,Matters!$R$6:$R$604,"Yes"))</f>
        <v>24</v>
      </c>
    </row>
    <row r="8" customFormat="false" ht="15" hidden="false" customHeight="true" outlineLevel="0" collapsed="false">
      <c r="A8" s="63" t="s">
        <v>474</v>
      </c>
      <c r="B8" s="63" t="s">
        <v>1333</v>
      </c>
      <c r="C8" s="63" t="s">
        <v>365</v>
      </c>
      <c r="D8" s="63" t="s">
        <v>454</v>
      </c>
      <c r="E8" s="66" t="n">
        <f aca="false">IF($A8="","",COUNTIFS(Matters!$K$6:$K$604,$A8,Matters!$R$6:$R$604,"Yes"))</f>
        <v>23</v>
      </c>
    </row>
    <row r="9" customFormat="false" ht="15" hidden="false" customHeight="true" outlineLevel="0" collapsed="false">
      <c r="A9" s="67" t="s">
        <v>462</v>
      </c>
      <c r="B9" s="67" t="s">
        <v>1334</v>
      </c>
      <c r="C9" s="67" t="s">
        <v>365</v>
      </c>
      <c r="D9" s="67" t="s">
        <v>1335</v>
      </c>
      <c r="E9" s="66" t="n">
        <f aca="false">IF($A9="","",COUNTIFS(Matters!$K$6:$K$604,$A9,Matters!$R$6:$R$604,"Yes"))</f>
        <v>22</v>
      </c>
    </row>
    <row r="10" customFormat="false" ht="15" hidden="false" customHeight="true" outlineLevel="0" collapsed="false">
      <c r="A10" s="63" t="s">
        <v>449</v>
      </c>
      <c r="B10" s="63" t="s">
        <v>1336</v>
      </c>
      <c r="C10" s="63" t="s">
        <v>365</v>
      </c>
      <c r="D10" s="63" t="s">
        <v>446</v>
      </c>
      <c r="E10" s="66" t="n">
        <f aca="false">IF($A10="","",COUNTIFS(Matters!$K$6:$K$604,$A10,Matters!$R$6:$R$604,"Yes"))</f>
        <v>21</v>
      </c>
    </row>
    <row r="11" customFormat="false" ht="15" hidden="false" customHeight="true" outlineLevel="0" collapsed="false">
      <c r="A11" s="67" t="s">
        <v>470</v>
      </c>
      <c r="B11" s="67" t="s">
        <v>1337</v>
      </c>
      <c r="C11" s="67" t="s">
        <v>365</v>
      </c>
      <c r="D11" s="67" t="s">
        <v>459</v>
      </c>
      <c r="E11" s="66" t="n">
        <f aca="false">IF($A11="","",COUNTIFS(Matters!$K$6:$K$604,$A11,Matters!$R$6:$R$604,"Yes"))</f>
        <v>21</v>
      </c>
    </row>
    <row r="12" customFormat="false" ht="15" hidden="false" customHeight="true" outlineLevel="0" collapsed="false">
      <c r="A12" s="63" t="s">
        <v>461</v>
      </c>
      <c r="B12" s="63" t="s">
        <v>1338</v>
      </c>
      <c r="C12" s="63" t="s">
        <v>365</v>
      </c>
      <c r="D12" s="63" t="s">
        <v>1339</v>
      </c>
      <c r="E12" s="66" t="n">
        <f aca="false">IF($A12="","",COUNTIFS(Matters!$K$6:$K$604,$A12,Matters!$R$6:$R$604,"Yes"))</f>
        <v>20</v>
      </c>
    </row>
    <row r="13" customFormat="false" ht="15" hidden="false" customHeight="true" outlineLevel="0" collapsed="false">
      <c r="A13" s="67" t="s">
        <v>456</v>
      </c>
      <c r="B13" s="67" t="s">
        <v>1337</v>
      </c>
      <c r="C13" s="67" t="s">
        <v>365</v>
      </c>
      <c r="D13" s="67" t="s">
        <v>1340</v>
      </c>
      <c r="E13" s="66" t="n">
        <f aca="false">IF($A13="","",COUNTIFS(Matters!$K$6:$K$604,$A13,Matters!$R$6:$R$604,"Yes"))</f>
        <v>19</v>
      </c>
    </row>
    <row r="14" customFormat="false" ht="15" hidden="false" customHeight="true" outlineLevel="0" collapsed="false">
      <c r="A14" s="63" t="s">
        <v>495</v>
      </c>
      <c r="B14" s="63" t="s">
        <v>1341</v>
      </c>
      <c r="C14" s="63" t="s">
        <v>121</v>
      </c>
      <c r="D14" s="63" t="s">
        <v>454</v>
      </c>
      <c r="E14" s="66" t="n">
        <f aca="false">IF($A14="","",COUNTIFS(Matters!$K$6:$K$604,$A14,Matters!$R$6:$R$604,"Yes"))</f>
        <v>0</v>
      </c>
    </row>
    <row r="15" customFormat="false" ht="15" hidden="false" customHeight="true" outlineLevel="0" collapsed="false">
      <c r="A15" s="67" t="s">
        <v>664</v>
      </c>
      <c r="B15" s="67" t="s">
        <v>1342</v>
      </c>
      <c r="C15" s="67" t="s">
        <v>121</v>
      </c>
      <c r="D15" s="67" t="s">
        <v>1335</v>
      </c>
      <c r="E15" s="66" t="n">
        <f aca="false">IF($A15="","",COUNTIFS(Matters!$K$6:$K$604,$A15,Matters!$R$6:$R$604,"Yes"))</f>
        <v>0</v>
      </c>
    </row>
    <row r="16" customFormat="false" ht="15" hidden="false" customHeight="true" outlineLevel="0" collapsed="false">
      <c r="A16" s="63" t="s">
        <v>538</v>
      </c>
      <c r="B16" s="63" t="s">
        <v>1343</v>
      </c>
      <c r="C16" s="63" t="s">
        <v>121</v>
      </c>
      <c r="D16" s="63" t="s">
        <v>1344</v>
      </c>
      <c r="E16" s="66" t="n">
        <f aca="false">IF($A16="","",COUNTIFS(Matters!$K$6:$K$604,$A16,Matters!$R$6:$R$604,"Yes"))</f>
        <v>0</v>
      </c>
    </row>
    <row r="17" customFormat="false" ht="15" hidden="false" customHeight="true" outlineLevel="0" collapsed="false">
      <c r="A17" s="67"/>
      <c r="B17" s="67"/>
      <c r="C17" s="67"/>
      <c r="D17" s="67"/>
      <c r="E17" s="66" t="str">
        <f aca="false">IF($A17="","",COUNTIFS(Matters!$K$6:$K$604,$A17,Matters!$R$6:$R$604,"Yes"))</f>
        <v/>
      </c>
    </row>
    <row r="18" customFormat="false" ht="15" hidden="false" customHeight="true" outlineLevel="0" collapsed="false">
      <c r="A18" s="63"/>
      <c r="B18" s="63"/>
      <c r="C18" s="63"/>
      <c r="D18" s="63"/>
      <c r="E18" s="66" t="str">
        <f aca="false">IF($A18="","",COUNTIFS(Matters!$K$6:$K$604,$A18,Matters!$R$6:$R$604,"Yes"))</f>
        <v/>
      </c>
    </row>
    <row r="19" customFormat="false" ht="15" hidden="false" customHeight="true" outlineLevel="0" collapsed="false">
      <c r="A19" s="67"/>
      <c r="B19" s="67"/>
      <c r="C19" s="67"/>
      <c r="D19" s="67"/>
      <c r="E19" s="66" t="str">
        <f aca="false">IF($A19="","",COUNTIFS(Matters!$K$6:$K$604,$A19,Matters!$R$6:$R$604,"Yes"))</f>
        <v/>
      </c>
    </row>
    <row r="20" customFormat="false" ht="15" hidden="false" customHeight="true" outlineLevel="0" collapsed="false">
      <c r="A20" s="63"/>
      <c r="B20" s="63"/>
      <c r="C20" s="63"/>
      <c r="D20" s="63"/>
      <c r="E20" s="66" t="str">
        <f aca="false">IF($A20="","",COUNTIFS(Matters!$K$6:$K$604,$A20,Matters!$R$6:$R$604,"Yes"))</f>
        <v/>
      </c>
    </row>
    <row r="21" customFormat="false" ht="15" hidden="false" customHeight="true" outlineLevel="0" collapsed="false">
      <c r="A21" s="67"/>
      <c r="B21" s="67"/>
      <c r="C21" s="67"/>
      <c r="D21" s="67"/>
      <c r="E21" s="66" t="str">
        <f aca="false">IF($A21="","",COUNTIFS(Matters!$K$6:$K$604,$A21,Matters!$R$6:$R$604,"Yes"))</f>
        <v/>
      </c>
    </row>
    <row r="22" customFormat="false" ht="15" hidden="false" customHeight="true" outlineLevel="0" collapsed="false">
      <c r="A22" s="63"/>
      <c r="B22" s="63"/>
      <c r="C22" s="63"/>
      <c r="D22" s="63"/>
      <c r="E22" s="66" t="str">
        <f aca="false">IF($A22="","",COUNTIFS(Matters!$K$6:$K$604,$A22,Matters!$R$6:$R$604,"Yes"))</f>
        <v/>
      </c>
    </row>
    <row r="23" customFormat="false" ht="15" hidden="false" customHeight="true" outlineLevel="0" collapsed="false">
      <c r="A23" s="67"/>
      <c r="B23" s="67"/>
      <c r="C23" s="67"/>
      <c r="D23" s="67"/>
      <c r="E23" s="66" t="str">
        <f aca="false">IF($A23="","",COUNTIFS(Matters!$K$6:$K$604,$A23,Matters!$R$6:$R$604,"Yes"))</f>
        <v/>
      </c>
    </row>
    <row r="24" customFormat="false" ht="15" hidden="false" customHeight="true" outlineLevel="0" collapsed="false">
      <c r="A24" s="63"/>
      <c r="B24" s="63"/>
      <c r="C24" s="63"/>
      <c r="D24" s="63"/>
      <c r="E24" s="66" t="str">
        <f aca="false">IF($A24="","",COUNTIFS(Matters!$K$6:$K$604,$A24,Matters!$R$6:$R$604,"Yes"))</f>
        <v/>
      </c>
    </row>
    <row r="25" customFormat="false" ht="15" hidden="false" customHeight="true" outlineLevel="0" collapsed="false">
      <c r="A25" s="67"/>
      <c r="B25" s="67"/>
      <c r="C25" s="67"/>
      <c r="D25" s="67"/>
      <c r="E25" s="66" t="str">
        <f aca="false">IF($A25="","",COUNTIFS(Matters!$K$6:$K$604,$A25,Matters!$R$6:$R$604,"Yes"))</f>
        <v/>
      </c>
    </row>
    <row r="26" customFormat="false" ht="15" hidden="false" customHeight="true" outlineLevel="0" collapsed="false">
      <c r="A26" s="63"/>
      <c r="B26" s="63"/>
      <c r="C26" s="63"/>
      <c r="D26" s="63"/>
      <c r="E26" s="66" t="str">
        <f aca="false">IF($A26="","",COUNTIFS(Matters!$K$6:$K$604,$A26,Matters!$R$6:$R$604,"Yes"))</f>
        <v/>
      </c>
    </row>
    <row r="27" customFormat="false" ht="15" hidden="false" customHeight="true" outlineLevel="0" collapsed="false">
      <c r="A27" s="67"/>
      <c r="B27" s="67"/>
      <c r="C27" s="67"/>
      <c r="D27" s="67"/>
      <c r="E27" s="66" t="str">
        <f aca="false">IF($A27="","",COUNTIFS(Matters!$K$6:$K$604,$A27,Matters!$R$6:$R$604,"Yes"))</f>
        <v/>
      </c>
    </row>
    <row r="28" customFormat="false" ht="15" hidden="false" customHeight="true" outlineLevel="0" collapsed="false">
      <c r="A28" s="63"/>
      <c r="B28" s="63"/>
      <c r="C28" s="63"/>
      <c r="D28" s="63"/>
      <c r="E28" s="66" t="str">
        <f aca="false">IF($A28="","",COUNTIFS(Matters!$K$6:$K$604,$A28,Matters!$R$6:$R$604,"Yes"))</f>
        <v/>
      </c>
    </row>
    <row r="29" customFormat="false" ht="15" hidden="false" customHeight="true" outlineLevel="0" collapsed="false">
      <c r="A29" s="67"/>
      <c r="B29" s="67"/>
      <c r="C29" s="67"/>
      <c r="D29" s="67"/>
      <c r="E29" s="66" t="str">
        <f aca="false">IF($A29="","",COUNTIFS(Matters!$K$6:$K$604,$A29,Matters!$R$6:$R$604,"Yes"))</f>
        <v/>
      </c>
    </row>
    <row r="30" customFormat="false" ht="15" hidden="false" customHeight="true" outlineLevel="0" collapsed="false">
      <c r="A30" s="63"/>
      <c r="B30" s="63"/>
      <c r="C30" s="63"/>
      <c r="D30" s="63"/>
      <c r="E30" s="66" t="str">
        <f aca="false">IF($A30="","",COUNTIFS(Matters!$K$6:$K$604,$A30,Matters!$R$6:$R$604,"Yes"))</f>
        <v/>
      </c>
    </row>
    <row r="31" customFormat="false" ht="15" hidden="false" customHeight="true" outlineLevel="0" collapsed="false">
      <c r="A31" s="67"/>
      <c r="B31" s="67"/>
      <c r="C31" s="67"/>
      <c r="D31" s="67"/>
      <c r="E31" s="66" t="str">
        <f aca="false">IF($A31="","",COUNTIFS(Matters!$K$6:$K$604,$A31,Matters!$R$6:$R$604,"Yes"))</f>
        <v/>
      </c>
    </row>
    <row r="32" customFormat="false" ht="15" hidden="false" customHeight="true" outlineLevel="0" collapsed="false">
      <c r="A32" s="63"/>
      <c r="B32" s="63"/>
      <c r="C32" s="63"/>
      <c r="D32" s="63"/>
      <c r="E32" s="66" t="str">
        <f aca="false">IF($A32="","",COUNTIFS(Matters!$K$6:$K$604,$A32,Matters!$R$6:$R$604,"Yes"))</f>
        <v/>
      </c>
    </row>
    <row r="33" customFormat="false" ht="15" hidden="false" customHeight="true" outlineLevel="0" collapsed="false">
      <c r="A33" s="67"/>
      <c r="B33" s="67"/>
      <c r="C33" s="67"/>
      <c r="D33" s="67"/>
      <c r="E33" s="66" t="str">
        <f aca="false">IF($A33="","",COUNTIFS(Matters!$K$6:$K$604,$A33,Matters!$R$6:$R$604,"Yes"))</f>
        <v/>
      </c>
    </row>
    <row r="34" customFormat="false" ht="15" hidden="false" customHeight="true" outlineLevel="0" collapsed="false">
      <c r="A34" s="63"/>
      <c r="B34" s="63"/>
      <c r="C34" s="63"/>
      <c r="D34" s="63"/>
      <c r="E34" s="66" t="str">
        <f aca="false">IF($A34="","",COUNTIFS(Matters!$K$6:$K$604,$A34,Matters!$R$6:$R$604,"Yes"))</f>
        <v/>
      </c>
    </row>
    <row r="35" customFormat="false" ht="15" hidden="false" customHeight="true" outlineLevel="0" collapsed="false">
      <c r="A35" s="67"/>
      <c r="B35" s="67"/>
      <c r="C35" s="67"/>
      <c r="D35" s="67"/>
      <c r="E35" s="66" t="str">
        <f aca="false">IF($A35="","",COUNTIFS(Matters!$K$6:$K$604,$A35,Matters!$R$6:$R$604,"Yes"))</f>
        <v/>
      </c>
    </row>
    <row r="36" customFormat="false" ht="15" hidden="false" customHeight="true" outlineLevel="0" collapsed="false">
      <c r="A36" s="63"/>
      <c r="B36" s="63"/>
      <c r="C36" s="63"/>
      <c r="D36" s="63"/>
      <c r="E36" s="66" t="str">
        <f aca="false">IF($A36="","",COUNTIFS(Matters!$K$6:$K$604,$A36,Matters!$R$6:$R$604,"Yes"))</f>
        <v/>
      </c>
    </row>
    <row r="37" customFormat="false" ht="15" hidden="false" customHeight="true" outlineLevel="0" collapsed="false">
      <c r="A37" s="67"/>
      <c r="B37" s="67"/>
      <c r="C37" s="67"/>
      <c r="D37" s="67"/>
      <c r="E37" s="66" t="str">
        <f aca="false">IF($A37="","",COUNTIFS(Matters!$K$6:$K$604,$A37,Matters!$R$6:$R$604,"Yes"))</f>
        <v/>
      </c>
    </row>
    <row r="38" customFormat="false" ht="15" hidden="false" customHeight="true" outlineLevel="0" collapsed="false">
      <c r="A38" s="63"/>
      <c r="B38" s="63"/>
      <c r="C38" s="63"/>
      <c r="D38" s="63"/>
      <c r="E38" s="66" t="str">
        <f aca="false">IF($A38="","",COUNTIFS(Matters!$K$6:$K$604,$A38,Matters!$R$6:$R$604,"Yes"))</f>
        <v/>
      </c>
    </row>
    <row r="39" customFormat="false" ht="15" hidden="false" customHeight="true" outlineLevel="0" collapsed="false">
      <c r="A39" s="67"/>
      <c r="B39" s="67"/>
      <c r="C39" s="67"/>
      <c r="D39" s="67"/>
      <c r="E39" s="66" t="str">
        <f aca="false">IF($A39="","",COUNTIFS(Matters!$K$6:$K$604,$A39,Matters!$R$6:$R$604,"Yes"))</f>
        <v/>
      </c>
    </row>
    <row r="40" customFormat="false" ht="15" hidden="false" customHeight="true" outlineLevel="0" collapsed="false">
      <c r="A40" s="63"/>
      <c r="B40" s="63"/>
      <c r="C40" s="63"/>
      <c r="D40" s="63"/>
      <c r="E40" s="66" t="str">
        <f aca="false">IF($A40="","",COUNTIFS(Matters!$K$6:$K$604,$A40,Matters!$R$6:$R$604,"Yes"))</f>
        <v/>
      </c>
    </row>
    <row r="41" customFormat="false" ht="15" hidden="false" customHeight="true" outlineLevel="0" collapsed="false">
      <c r="A41" s="67"/>
      <c r="B41" s="67"/>
      <c r="C41" s="67"/>
      <c r="D41" s="67"/>
      <c r="E41" s="66" t="str">
        <f aca="false">IF($A41="","",COUNTIFS(Matters!$K$6:$K$604,$A41,Matters!$R$6:$R$604,"Yes"))</f>
        <v/>
      </c>
    </row>
    <row r="42" customFormat="false" ht="15" hidden="false" customHeight="true" outlineLevel="0" collapsed="false">
      <c r="A42" s="63"/>
      <c r="B42" s="63"/>
      <c r="C42" s="63"/>
      <c r="D42" s="63"/>
      <c r="E42" s="66" t="str">
        <f aca="false">IF($A42="","",COUNTIFS(Matters!$K$6:$K$604,$A42,Matters!$R$6:$R$604,"Yes"))</f>
        <v/>
      </c>
    </row>
    <row r="43" customFormat="false" ht="15" hidden="false" customHeight="true" outlineLevel="0" collapsed="false">
      <c r="A43" s="67"/>
      <c r="B43" s="67"/>
      <c r="C43" s="67"/>
      <c r="D43" s="67"/>
      <c r="E43" s="66" t="str">
        <f aca="false">IF($A43="","",COUNTIFS(Matters!$K$6:$K$604,$A43,Matters!$R$6:$R$604,"Yes"))</f>
        <v/>
      </c>
    </row>
    <row r="44" customFormat="false" ht="15" hidden="false" customHeight="true" outlineLevel="0" collapsed="false">
      <c r="A44" s="63"/>
      <c r="B44" s="63"/>
      <c r="C44" s="63"/>
      <c r="D44" s="63"/>
      <c r="E44" s="66" t="str">
        <f aca="false">IF($A44="","",COUNTIFS(Matters!$K$6:$K$604,$A44,Matters!$R$6:$R$604,"Yes"))</f>
        <v/>
      </c>
    </row>
  </sheetData>
  <dataValidations count="1">
    <dataValidation allowBlank="true" errorStyle="stop" operator="between" showDropDown="false" showErrorMessage="false" showInputMessage="false" sqref="C6:C44"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B5563"/>
    <pageSetUpPr fitToPage="true"/>
  </sheetPr>
  <dimension ref="A1:F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2"/>
    <col collapsed="false" customWidth="true" hidden="false" outlineLevel="0" max="2" min="2" style="1" width="30"/>
    <col collapsed="false" customWidth="true" hidden="false" outlineLevel="0" max="3" min="3" style="1" width="46"/>
    <col collapsed="false" customWidth="true" hidden="false" outlineLevel="0" max="5" min="4" style="1" width="16"/>
    <col collapsed="false" customWidth="true" hidden="false" outlineLevel="0" max="6" min="6" style="1" width="46"/>
  </cols>
  <sheetData>
    <row r="1" customFormat="false" ht="21.75" hidden="false" customHeight="true" outlineLevel="0" collapsed="false">
      <c r="A1" s="31" t="s">
        <v>50</v>
      </c>
    </row>
    <row r="2" customFormat="false" ht="15" hidden="false" customHeight="true" outlineLevel="0" collapsed="false">
      <c r="A2" s="32" t="s">
        <v>1345</v>
      </c>
    </row>
    <row r="3" customFormat="false" ht="15" hidden="false" customHeight="true" outlineLevel="0" collapsed="false">
      <c r="A3" s="60" t="s">
        <v>1346</v>
      </c>
    </row>
    <row r="4" customFormat="false" ht="15" hidden="false" customHeight="true" outlineLevel="0" collapsed="false">
      <c r="A4" s="30" t="s">
        <v>161</v>
      </c>
    </row>
    <row r="5" customFormat="false" ht="30" hidden="false" customHeight="true" outlineLevel="0" collapsed="false">
      <c r="A5" s="8" t="s">
        <v>1347</v>
      </c>
      <c r="B5" s="8" t="s">
        <v>1348</v>
      </c>
      <c r="C5" s="8" t="s">
        <v>1349</v>
      </c>
      <c r="D5" s="8" t="s">
        <v>1350</v>
      </c>
      <c r="E5" s="8" t="s">
        <v>1351</v>
      </c>
      <c r="F5" s="8" t="s">
        <v>176</v>
      </c>
    </row>
    <row r="6" customFormat="false" ht="15" hidden="false" customHeight="true" outlineLevel="0" collapsed="false">
      <c r="A6" s="63" t="s">
        <v>1352</v>
      </c>
      <c r="B6" s="63" t="s">
        <v>1353</v>
      </c>
      <c r="C6" s="63" t="s">
        <v>1354</v>
      </c>
      <c r="D6" s="84" t="n">
        <v>6</v>
      </c>
      <c r="E6" s="84" t="n">
        <v>5</v>
      </c>
      <c r="F6" s="63" t="s">
        <v>1355</v>
      </c>
    </row>
    <row r="7" customFormat="false" ht="15" hidden="false" customHeight="true" outlineLevel="0" collapsed="false">
      <c r="A7" s="67" t="s">
        <v>1356</v>
      </c>
      <c r="B7" s="67" t="s">
        <v>1357</v>
      </c>
      <c r="C7" s="67" t="s">
        <v>1358</v>
      </c>
      <c r="D7" s="85" t="n">
        <v>4</v>
      </c>
      <c r="E7" s="85" t="n">
        <v>3</v>
      </c>
      <c r="F7" s="67" t="s">
        <v>1359</v>
      </c>
    </row>
    <row r="8" customFormat="false" ht="15" hidden="false" customHeight="true" outlineLevel="0" collapsed="false">
      <c r="A8" s="63" t="s">
        <v>1360</v>
      </c>
      <c r="B8" s="63" t="s">
        <v>1361</v>
      </c>
      <c r="C8" s="63" t="s">
        <v>1362</v>
      </c>
      <c r="D8" s="84" t="n">
        <v>3</v>
      </c>
      <c r="E8" s="84" t="n">
        <v>2</v>
      </c>
      <c r="F8" s="63" t="s">
        <v>1363</v>
      </c>
    </row>
    <row r="9" customFormat="false" ht="15" hidden="false" customHeight="true" outlineLevel="0" collapsed="false">
      <c r="A9" s="67" t="s">
        <v>1364</v>
      </c>
      <c r="B9" s="67" t="s">
        <v>1365</v>
      </c>
      <c r="C9" s="67" t="s">
        <v>1366</v>
      </c>
      <c r="D9" s="85" t="n">
        <v>1</v>
      </c>
      <c r="E9" s="85" t="n">
        <v>1</v>
      </c>
      <c r="F9" s="67" t="s">
        <v>1367</v>
      </c>
    </row>
    <row r="10" customFormat="false" ht="15" hidden="false" customHeight="true" outlineLevel="0" collapsed="false">
      <c r="A10" s="63"/>
      <c r="B10" s="63"/>
      <c r="C10" s="63"/>
      <c r="D10" s="84"/>
      <c r="E10" s="84"/>
      <c r="F10" s="63"/>
    </row>
    <row r="11" customFormat="false" ht="15" hidden="false" customHeight="true" outlineLevel="0" collapsed="false">
      <c r="A11" s="67"/>
      <c r="B11" s="67"/>
      <c r="C11" s="67"/>
      <c r="D11" s="85"/>
      <c r="E11" s="85"/>
      <c r="F11" s="67"/>
    </row>
    <row r="12" customFormat="false" ht="15" hidden="false" customHeight="true" outlineLevel="0" collapsed="false">
      <c r="A12" s="63"/>
      <c r="B12" s="63"/>
      <c r="C12" s="63"/>
      <c r="D12" s="84"/>
      <c r="E12" s="84"/>
      <c r="F12" s="63"/>
    </row>
    <row r="13" customFormat="false" ht="15" hidden="false" customHeight="true" outlineLevel="0" collapsed="false">
      <c r="A13" s="67"/>
      <c r="B13" s="67"/>
      <c r="C13" s="67"/>
      <c r="D13" s="85"/>
      <c r="E13" s="85"/>
      <c r="F13" s="67"/>
    </row>
    <row r="14" customFormat="false" ht="15" hidden="false" customHeight="true" outlineLevel="0" collapsed="false">
      <c r="A14" s="63"/>
      <c r="B14" s="63"/>
      <c r="C14" s="63"/>
      <c r="D14" s="84"/>
      <c r="E14" s="84"/>
      <c r="F14" s="63"/>
    </row>
    <row r="15" customFormat="false" ht="15" hidden="false" customHeight="true" outlineLevel="0" collapsed="false">
      <c r="A15" s="67"/>
      <c r="B15" s="67"/>
      <c r="C15" s="67"/>
      <c r="D15" s="85"/>
      <c r="E15" s="85"/>
      <c r="F15" s="67"/>
    </row>
    <row r="16" customFormat="false" ht="15" hidden="false" customHeight="true" outlineLevel="0" collapsed="false">
      <c r="A16" s="63"/>
      <c r="B16" s="63"/>
      <c r="C16" s="63"/>
      <c r="D16" s="84"/>
      <c r="E16" s="84"/>
      <c r="F16" s="63"/>
    </row>
    <row r="17" customFormat="false" ht="15" hidden="false" customHeight="true" outlineLevel="0" collapsed="false">
      <c r="A17" s="67"/>
      <c r="B17" s="67"/>
      <c r="C17" s="67"/>
      <c r="D17" s="85"/>
      <c r="E17" s="85"/>
      <c r="F17" s="67"/>
    </row>
    <row r="18" customFormat="false" ht="15" hidden="false" customHeight="true" outlineLevel="0" collapsed="false">
      <c r="A18" s="63"/>
      <c r="B18" s="63"/>
      <c r="C18" s="63"/>
      <c r="D18" s="84"/>
      <c r="E18" s="84"/>
      <c r="F18" s="63"/>
    </row>
    <row r="19" customFormat="false" ht="15" hidden="false" customHeight="true" outlineLevel="0" collapsed="false">
      <c r="A19" s="67"/>
      <c r="B19" s="67"/>
      <c r="C19" s="67"/>
      <c r="D19" s="85"/>
      <c r="E19" s="85"/>
      <c r="F19" s="67"/>
    </row>
    <row r="20" customFormat="false" ht="15" hidden="false" customHeight="true" outlineLevel="0" collapsed="false">
      <c r="A20" s="63"/>
      <c r="B20" s="63"/>
      <c r="C20" s="63"/>
      <c r="D20" s="84"/>
      <c r="E20" s="84"/>
      <c r="F20" s="63"/>
    </row>
    <row r="21" customFormat="false" ht="15" hidden="false" customHeight="true" outlineLevel="0" collapsed="false">
      <c r="A21" s="67"/>
      <c r="B21" s="67"/>
      <c r="C21" s="67"/>
      <c r="D21" s="85"/>
      <c r="E21" s="85"/>
      <c r="F21" s="67"/>
    </row>
    <row r="22" customFormat="false" ht="15" hidden="false" customHeight="true" outlineLevel="0" collapsed="false">
      <c r="A22" s="63"/>
      <c r="B22" s="63"/>
      <c r="C22" s="63"/>
      <c r="D22" s="84"/>
      <c r="E22" s="84"/>
      <c r="F22" s="63"/>
    </row>
    <row r="23" customFormat="false" ht="15" hidden="false" customHeight="true" outlineLevel="0" collapsed="false">
      <c r="A23" s="67"/>
      <c r="B23" s="67"/>
      <c r="C23" s="67"/>
      <c r="D23" s="85"/>
      <c r="E23" s="85"/>
      <c r="F23" s="67"/>
    </row>
    <row r="24" customFormat="false" ht="15" hidden="false" customHeight="true" outlineLevel="0" collapsed="false">
      <c r="A24" s="63"/>
      <c r="B24" s="63"/>
      <c r="C24" s="63"/>
      <c r="D24" s="84"/>
      <c r="E24" s="84"/>
      <c r="F24" s="63"/>
    </row>
    <row r="26" customFormat="false" ht="21.75" hidden="false" customHeight="true" outlineLevel="0" collapsed="false">
      <c r="C26" s="86" t="s">
        <v>1368</v>
      </c>
      <c r="D26" s="87" t="n">
        <f aca="false">SUM($D$6:$D$24)</f>
        <v>14</v>
      </c>
      <c r="E26" s="87" t="n">
        <f aca="false">SUM($E$6:$E$24)</f>
        <v>11</v>
      </c>
      <c r="F26" s="83" t="s">
        <v>1369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2026-08-25T20:12:01Z</dcterms:created>
  <dc:creator>openpyxl</dc:creator>
  <dc:description/>
  <dc:language>en-US</dc:language>
  <cp:lastModifiedBy/>
  <dcterms:modified xsi:type="dcterms:W3CDTF">2026-09-14T18:49:22Z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